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tre-pr\arquivos\DOCUMENTOS - TRE\COLABORAÇÃO\SLIC_PLANILHAS_DE_CONTROLE\Controles SLIC\Arquivos Editais\LICITAÇÕES 2020\PE 25\"/>
    </mc:Choice>
  </mc:AlternateContent>
  <bookViews>
    <workbookView xWindow="0" yWindow="0" windowWidth="20490" windowHeight="7755" tabRatio="923"/>
  </bookViews>
  <sheets>
    <sheet name="VALOR DO POSTO - ESTIMATIVA" sheetId="34" r:id="rId1"/>
    <sheet name="BASE CALC FG - ESTIMATIVA" sheetId="36" r:id="rId2"/>
    <sheet name="Item 1 - he 50%" sheetId="24" state="hidden" r:id="rId3"/>
    <sheet name="item 1 - he 100%" sheetId="23" state="hidden" r:id="rId4"/>
    <sheet name="HORA EXTRA - ESTIMATIVA" sheetId="38" r:id="rId5"/>
    <sheet name="Item 2 - he 50%" sheetId="29" state="hidden" r:id="rId6"/>
    <sheet name="item 2 - he 100%" sheetId="30" state="hidden" r:id="rId7"/>
  </sheets>
  <definedNames>
    <definedName name="_xlnm.Print_Area" localSheetId="1">'BASE CALC FG - ESTIMATIVA'!$A$1:$D$77</definedName>
    <definedName name="_xlnm.Print_Area" localSheetId="4">'HORA EXTRA - ESTIMATIVA'!$A$1:$I$38</definedName>
    <definedName name="_xlnm.Print_Area" localSheetId="0">'VALOR DO POSTO - ESTIMATIVA'!$A$1:$H$146</definedName>
    <definedName name="_xlnm.Print_Titles" localSheetId="1">'BASE CALC FG - ESTIMATIVA'!$1:$4</definedName>
    <definedName name="_xlnm.Print_Titles" localSheetId="0">'VALOR DO POSTO - ESTIMATIVA'!$1:$4</definedName>
  </definedNames>
  <calcPr calcId="152511"/>
</workbook>
</file>

<file path=xl/calcChain.xml><?xml version="1.0" encoding="utf-8"?>
<calcChain xmlns="http://schemas.openxmlformats.org/spreadsheetml/2006/main">
  <c r="E18" i="34" l="1"/>
  <c r="E46" i="34"/>
  <c r="D62" i="34" l="1"/>
  <c r="D65" i="34" l="1"/>
  <c r="B13" i="36" l="1"/>
  <c r="G31" i="38" l="1"/>
  <c r="C31" i="38"/>
  <c r="B11" i="38"/>
  <c r="D108" i="34" l="1"/>
  <c r="D107" i="34"/>
  <c r="D109" i="34"/>
  <c r="D79" i="34"/>
  <c r="D31" i="38" l="1"/>
  <c r="H26" i="38"/>
  <c r="H22" i="38"/>
  <c r="H18" i="38"/>
  <c r="H14" i="38"/>
  <c r="B49" i="36"/>
  <c r="H31" i="38"/>
  <c r="B27" i="36"/>
  <c r="B37" i="36"/>
  <c r="E68" i="34"/>
  <c r="G90" i="34" l="1"/>
  <c r="G91" i="34"/>
  <c r="G92" i="34"/>
  <c r="G89" i="34"/>
  <c r="F94" i="34"/>
  <c r="F117" i="34" s="1"/>
  <c r="E94" i="34"/>
  <c r="E117" i="34" s="1"/>
  <c r="G83" i="34"/>
  <c r="E80" i="34"/>
  <c r="E85" i="34" s="1"/>
  <c r="E116" i="34" s="1"/>
  <c r="E115" i="34"/>
  <c r="D61" i="34"/>
  <c r="G23" i="34"/>
  <c r="G117" i="34" l="1"/>
  <c r="G94" i="34"/>
  <c r="G46" i="34"/>
  <c r="F54" i="34"/>
  <c r="E51" i="34"/>
  <c r="G51" i="34" s="1"/>
  <c r="E52" i="34"/>
  <c r="G52" i="34" s="1"/>
  <c r="E53" i="34"/>
  <c r="G53" i="34" s="1"/>
  <c r="E50" i="34"/>
  <c r="G50" i="34" s="1"/>
  <c r="E48" i="34"/>
  <c r="E20" i="34"/>
  <c r="G20" i="34" s="1"/>
  <c r="E21" i="34"/>
  <c r="G21" i="34" s="1"/>
  <c r="E22" i="34"/>
  <c r="G22" i="34" s="1"/>
  <c r="E19" i="34"/>
  <c r="E25" i="34" s="1"/>
  <c r="E32" i="34"/>
  <c r="F25" i="34"/>
  <c r="F113" i="34" s="1"/>
  <c r="D43" i="34"/>
  <c r="B11" i="36" s="1"/>
  <c r="D32" i="34"/>
  <c r="G18" i="34"/>
  <c r="G19" i="34" l="1"/>
  <c r="D64" i="34"/>
  <c r="F22" i="38"/>
  <c r="F18" i="38"/>
  <c r="F14" i="38"/>
  <c r="F26" i="38"/>
  <c r="B47" i="36"/>
  <c r="B25" i="36"/>
  <c r="B35" i="36"/>
  <c r="E54" i="34"/>
  <c r="G54" i="34" s="1"/>
  <c r="G48" i="34"/>
  <c r="F60" i="34" l="1"/>
  <c r="E35" i="34"/>
  <c r="F62" i="34"/>
  <c r="E38" i="34"/>
  <c r="E39" i="34"/>
  <c r="E36" i="34"/>
  <c r="E40" i="34"/>
  <c r="F61" i="34"/>
  <c r="G61" i="34" s="1"/>
  <c r="E37" i="34"/>
  <c r="E41" i="34"/>
  <c r="E42" i="34"/>
  <c r="F63" i="34"/>
  <c r="G63" i="34" s="1"/>
  <c r="F64" i="34"/>
  <c r="G64" i="34" s="1"/>
  <c r="F65" i="34"/>
  <c r="G65" i="34" s="1"/>
  <c r="F66" i="34"/>
  <c r="G66" i="34" s="1"/>
  <c r="C10" i="36"/>
  <c r="C11" i="36" s="1"/>
  <c r="C12" i="36" s="1"/>
  <c r="C13" i="36" s="1"/>
  <c r="C14" i="36" s="1"/>
  <c r="C16" i="36" s="1"/>
  <c r="C66" i="36"/>
  <c r="D66" i="36" s="1"/>
  <c r="C74" i="36"/>
  <c r="D74" i="36" s="1"/>
  <c r="C67" i="36"/>
  <c r="D67" i="36" s="1"/>
  <c r="C76" i="36"/>
  <c r="D76" i="36" s="1"/>
  <c r="C75" i="36"/>
  <c r="D75" i="36" s="1"/>
  <c r="C34" i="36"/>
  <c r="C21" i="36"/>
  <c r="C44" i="36"/>
  <c r="C27" i="38"/>
  <c r="C23" i="38"/>
  <c r="C19" i="38"/>
  <c r="C15" i="38"/>
  <c r="F78" i="34"/>
  <c r="G78" i="34" s="1"/>
  <c r="F79" i="34"/>
  <c r="G79" i="34" s="1"/>
  <c r="F76" i="34"/>
  <c r="G76" i="34" s="1"/>
  <c r="F77" i="34"/>
  <c r="G77" i="34" s="1"/>
  <c r="E113" i="34"/>
  <c r="F74" i="34"/>
  <c r="F73" i="34"/>
  <c r="F75" i="34"/>
  <c r="G75" i="34" s="1"/>
  <c r="G62" i="34"/>
  <c r="F31" i="34"/>
  <c r="C23" i="36" s="1"/>
  <c r="F30" i="34"/>
  <c r="C22" i="36" s="1"/>
  <c r="G25" i="34"/>
  <c r="I11" i="38"/>
  <c r="I10" i="38"/>
  <c r="E43" i="34" l="1"/>
  <c r="E56" i="34" s="1"/>
  <c r="F68" i="34"/>
  <c r="F80" i="34"/>
  <c r="C24" i="36"/>
  <c r="C25" i="36" s="1"/>
  <c r="C26" i="36" s="1"/>
  <c r="C27" i="36" s="1"/>
  <c r="C28" i="36" s="1"/>
  <c r="C30" i="36" s="1"/>
  <c r="C35" i="36"/>
  <c r="C36" i="36" s="1"/>
  <c r="C37" i="36" s="1"/>
  <c r="C38" i="36" s="1"/>
  <c r="C40" i="36" s="1"/>
  <c r="C45" i="36"/>
  <c r="C46" i="36" s="1"/>
  <c r="C47" i="36" s="1"/>
  <c r="C48" i="36" s="1"/>
  <c r="C49" i="36" s="1"/>
  <c r="C50" i="36" s="1"/>
  <c r="C52" i="36" s="1"/>
  <c r="G31" i="34"/>
  <c r="G74" i="34"/>
  <c r="F32" i="34"/>
  <c r="G30" i="34"/>
  <c r="G60" i="34"/>
  <c r="G73" i="34"/>
  <c r="G113" i="34"/>
  <c r="A6" i="38"/>
  <c r="A5" i="38"/>
  <c r="A2" i="38"/>
  <c r="A3" i="38"/>
  <c r="A1" i="38"/>
  <c r="G32" i="38"/>
  <c r="C32" i="38"/>
  <c r="D27" i="38"/>
  <c r="D23" i="38"/>
  <c r="B23" i="38"/>
  <c r="D19" i="38"/>
  <c r="D15" i="38"/>
  <c r="B15" i="38"/>
  <c r="B27" i="38"/>
  <c r="G32" i="34" l="1"/>
  <c r="F39" i="34"/>
  <c r="G39" i="34" s="1"/>
  <c r="F36" i="34"/>
  <c r="G36" i="34" s="1"/>
  <c r="F38" i="34"/>
  <c r="G38" i="34" s="1"/>
  <c r="F40" i="34"/>
  <c r="G40" i="34" s="1"/>
  <c r="F42" i="34"/>
  <c r="G42" i="34" s="1"/>
  <c r="F37" i="34"/>
  <c r="G37" i="34" s="1"/>
  <c r="F41" i="34"/>
  <c r="G41" i="34" s="1"/>
  <c r="F35" i="34"/>
  <c r="G35" i="34" s="1"/>
  <c r="C72" i="36"/>
  <c r="D72" i="36" s="1"/>
  <c r="C64" i="36"/>
  <c r="D64" i="36" s="1"/>
  <c r="C58" i="36"/>
  <c r="D58" i="36" s="1"/>
  <c r="C73" i="36"/>
  <c r="D73" i="36" s="1"/>
  <c r="C59" i="36"/>
  <c r="D59" i="36" s="1"/>
  <c r="C65" i="36"/>
  <c r="D65" i="36" s="1"/>
  <c r="F85" i="34"/>
  <c r="F116" i="34" s="1"/>
  <c r="G116" i="34" s="1"/>
  <c r="G80" i="34"/>
  <c r="G85" i="34" s="1"/>
  <c r="E114" i="34"/>
  <c r="F115" i="34"/>
  <c r="G115" i="34" s="1"/>
  <c r="G68" i="34"/>
  <c r="D32" i="38"/>
  <c r="E32" i="38" s="1"/>
  <c r="H32" i="38"/>
  <c r="I32" i="38" s="1"/>
  <c r="E15" i="38"/>
  <c r="E23" i="38"/>
  <c r="E27" i="38"/>
  <c r="B19" i="38"/>
  <c r="B32" i="38"/>
  <c r="E19" i="38"/>
  <c r="F43" i="34" l="1"/>
  <c r="D60" i="36"/>
  <c r="D77" i="36"/>
  <c r="D68" i="36"/>
  <c r="E118" i="34"/>
  <c r="A6" i="36"/>
  <c r="A5" i="36"/>
  <c r="E119" i="34" l="1"/>
  <c r="E124" i="34" s="1"/>
  <c r="E120" i="34"/>
  <c r="E125" i="34" s="1"/>
  <c r="E121" i="34"/>
  <c r="E126" i="34" s="1"/>
  <c r="G43" i="34"/>
  <c r="F56" i="34"/>
  <c r="F114" i="34" s="1"/>
  <c r="A3" i="36"/>
  <c r="A2" i="36"/>
  <c r="A1" i="36"/>
  <c r="G56" i="34" l="1"/>
  <c r="F118" i="34"/>
  <c r="G114" i="34"/>
  <c r="G118" i="34" s="1"/>
  <c r="F23" i="38"/>
  <c r="G23" i="38" s="1"/>
  <c r="H23" i="38" s="1"/>
  <c r="I23" i="38" s="1"/>
  <c r="F19" i="38"/>
  <c r="G19" i="38" s="1"/>
  <c r="H19" i="38" s="1"/>
  <c r="I19" i="38" s="1"/>
  <c r="F15" i="38"/>
  <c r="G15" i="38" s="1"/>
  <c r="H15" i="38" s="1"/>
  <c r="I15" i="38" s="1"/>
  <c r="F27" i="38"/>
  <c r="G27" i="38" s="1"/>
  <c r="H27" i="38" s="1"/>
  <c r="I27" i="38" s="1"/>
  <c r="F119" i="34" l="1"/>
  <c r="F124" i="34" s="1"/>
  <c r="F120" i="34"/>
  <c r="F121" i="34"/>
  <c r="G121" i="34" s="1"/>
  <c r="F125" i="34"/>
  <c r="F126" i="34" l="1"/>
  <c r="G126" i="34" s="1"/>
  <c r="D135" i="34" s="1"/>
  <c r="G135" i="34" s="1"/>
  <c r="G125" i="34"/>
  <c r="D134" i="34" s="1"/>
  <c r="G134" i="34" s="1"/>
  <c r="G120" i="34"/>
  <c r="G124" i="34"/>
  <c r="D133" i="34" s="1"/>
  <c r="G133" i="34" s="1"/>
  <c r="G119" i="34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 s="1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 s="1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 l="1"/>
  <c r="B40" i="29"/>
  <c r="D15" i="30"/>
  <c r="D15" i="29"/>
  <c r="B55" i="29"/>
  <c r="B56" i="29"/>
  <c r="B33" i="29"/>
  <c r="B33" i="30"/>
  <c r="B73" i="30" s="1"/>
  <c r="B74" i="30" s="1"/>
  <c r="B84" i="30" s="1"/>
  <c r="B55" i="30"/>
  <c r="B56" i="30"/>
  <c r="B102" i="30"/>
  <c r="B102" i="29"/>
  <c r="B118" i="29"/>
  <c r="B41" i="29" l="1"/>
  <c r="B42" i="29" s="1"/>
  <c r="B81" i="29" s="1"/>
  <c r="B73" i="29"/>
  <c r="B74" i="29" s="1"/>
  <c r="B84" i="29" s="1"/>
  <c r="B80" i="29"/>
  <c r="B58" i="29"/>
  <c r="B61" i="29" s="1"/>
  <c r="B83" i="29" s="1"/>
  <c r="B80" i="30"/>
  <c r="B58" i="30"/>
  <c r="B61" i="30" s="1"/>
  <c r="B83" i="30" s="1"/>
  <c r="B41" i="30"/>
  <c r="B42" i="30" s="1"/>
  <c r="B81" i="30" s="1"/>
  <c r="B48" i="30"/>
  <c r="B49" i="30" s="1"/>
  <c r="B82" i="30" s="1"/>
  <c r="B48" i="29"/>
  <c r="B49" i="29" s="1"/>
  <c r="B82" i="29" s="1"/>
  <c r="D16" i="29"/>
  <c r="D17" i="29" s="1"/>
  <c r="D16" i="30"/>
  <c r="B85" i="29" l="1"/>
  <c r="D71" i="29"/>
  <c r="C71" i="29" s="1"/>
  <c r="D69" i="29"/>
  <c r="C69" i="29" s="1"/>
  <c r="D67" i="29"/>
  <c r="C67" i="29" s="1"/>
  <c r="D57" i="29"/>
  <c r="D29" i="29"/>
  <c r="C29" i="29" s="1"/>
  <c r="D25" i="29"/>
  <c r="C25" i="29" s="1"/>
  <c r="D58" i="29"/>
  <c r="C58" i="29" s="1"/>
  <c r="D54" i="29"/>
  <c r="D38" i="29"/>
  <c r="D30" i="29"/>
  <c r="C30" i="29" s="1"/>
  <c r="D26" i="29"/>
  <c r="C26" i="29" s="1"/>
  <c r="D73" i="29"/>
  <c r="C73" i="29" s="1"/>
  <c r="D70" i="29"/>
  <c r="C70" i="29" s="1"/>
  <c r="D68" i="29"/>
  <c r="C68" i="29" s="1"/>
  <c r="D66" i="29"/>
  <c r="D55" i="29"/>
  <c r="C55" i="29" s="1"/>
  <c r="D47" i="29"/>
  <c r="D39" i="29"/>
  <c r="C39" i="29" s="1"/>
  <c r="D31" i="29"/>
  <c r="C31" i="29" s="1"/>
  <c r="D27" i="29"/>
  <c r="C27" i="29" s="1"/>
  <c r="D60" i="29"/>
  <c r="C60" i="29" s="1"/>
  <c r="D32" i="29"/>
  <c r="C32" i="29" s="1"/>
  <c r="D24" i="29"/>
  <c r="D28" i="29"/>
  <c r="C28" i="29" s="1"/>
  <c r="C15" i="29"/>
  <c r="D17" i="30"/>
  <c r="C16" i="30" s="1"/>
  <c r="C16" i="29"/>
  <c r="B85" i="30"/>
  <c r="C54" i="29" l="1"/>
  <c r="D56" i="29"/>
  <c r="C56" i="29" s="1"/>
  <c r="C57" i="29"/>
  <c r="D59" i="29"/>
  <c r="C59" i="29" s="1"/>
  <c r="D33" i="29"/>
  <c r="D80" i="29" s="1"/>
  <c r="C24" i="29"/>
  <c r="C33" i="29" s="1"/>
  <c r="D72" i="29"/>
  <c r="D74" i="29" s="1"/>
  <c r="D84" i="29" s="1"/>
  <c r="C84" i="29" s="1"/>
  <c r="C66" i="29"/>
  <c r="C72" i="29" s="1"/>
  <c r="C74" i="29" s="1"/>
  <c r="D71" i="30"/>
  <c r="C71" i="30" s="1"/>
  <c r="D69" i="30"/>
  <c r="C69" i="30" s="1"/>
  <c r="D67" i="30"/>
  <c r="C67" i="30" s="1"/>
  <c r="D57" i="30"/>
  <c r="D29" i="30"/>
  <c r="C29" i="30" s="1"/>
  <c r="D25" i="30"/>
  <c r="C25" i="30" s="1"/>
  <c r="D58" i="30"/>
  <c r="C58" i="30" s="1"/>
  <c r="D54" i="30"/>
  <c r="D38" i="30"/>
  <c r="D30" i="30"/>
  <c r="C30" i="30" s="1"/>
  <c r="D26" i="30"/>
  <c r="C26" i="30" s="1"/>
  <c r="D73" i="30"/>
  <c r="C73" i="30" s="1"/>
  <c r="D70" i="30"/>
  <c r="C70" i="30" s="1"/>
  <c r="D68" i="30"/>
  <c r="C68" i="30" s="1"/>
  <c r="D66" i="30"/>
  <c r="D55" i="30"/>
  <c r="C55" i="30" s="1"/>
  <c r="D47" i="30"/>
  <c r="D39" i="30"/>
  <c r="C39" i="30" s="1"/>
  <c r="D31" i="30"/>
  <c r="C31" i="30" s="1"/>
  <c r="D27" i="30"/>
  <c r="C27" i="30" s="1"/>
  <c r="D60" i="30"/>
  <c r="C60" i="30" s="1"/>
  <c r="D32" i="30"/>
  <c r="C32" i="30" s="1"/>
  <c r="D24" i="30"/>
  <c r="D28" i="30"/>
  <c r="C28" i="30" s="1"/>
  <c r="C15" i="30"/>
  <c r="D48" i="29"/>
  <c r="C48" i="29" s="1"/>
  <c r="C47" i="29"/>
  <c r="C38" i="29"/>
  <c r="C40" i="29" s="1"/>
  <c r="D40" i="29"/>
  <c r="C49" i="29" l="1"/>
  <c r="D49" i="29"/>
  <c r="D82" i="29" s="1"/>
  <c r="C82" i="29" s="1"/>
  <c r="C61" i="29"/>
  <c r="D48" i="30"/>
  <c r="C48" i="30" s="1"/>
  <c r="C47" i="30"/>
  <c r="C38" i="30"/>
  <c r="C40" i="30" s="1"/>
  <c r="D40" i="30"/>
  <c r="D61" i="29"/>
  <c r="D83" i="29" s="1"/>
  <c r="C83" i="29" s="1"/>
  <c r="D41" i="29"/>
  <c r="C41" i="29" s="1"/>
  <c r="C42" i="29" s="1"/>
  <c r="D33" i="30"/>
  <c r="D80" i="30" s="1"/>
  <c r="C24" i="30"/>
  <c r="C33" i="30" s="1"/>
  <c r="D72" i="30"/>
  <c r="D74" i="30" s="1"/>
  <c r="D84" i="30" s="1"/>
  <c r="C84" i="30" s="1"/>
  <c r="C66" i="30"/>
  <c r="C72" i="30" s="1"/>
  <c r="C74" i="30" s="1"/>
  <c r="C54" i="30"/>
  <c r="D56" i="30"/>
  <c r="C56" i="30" s="1"/>
  <c r="C57" i="30"/>
  <c r="D59" i="30"/>
  <c r="C59" i="30" s="1"/>
  <c r="C80" i="29"/>
  <c r="C61" i="30" l="1"/>
  <c r="D42" i="29"/>
  <c r="D81" i="29" s="1"/>
  <c r="C80" i="30"/>
  <c r="D41" i="30"/>
  <c r="C41" i="30" s="1"/>
  <c r="C42" i="30" s="1"/>
  <c r="D49" i="30"/>
  <c r="D82" i="30" s="1"/>
  <c r="C82" i="30" s="1"/>
  <c r="D61" i="30"/>
  <c r="D83" i="30" s="1"/>
  <c r="C83" i="30" s="1"/>
  <c r="C49" i="30"/>
  <c r="D42" i="30" l="1"/>
  <c r="D81" i="30" s="1"/>
  <c r="C81" i="30" s="1"/>
  <c r="C85" i="30" s="1"/>
  <c r="C81" i="29"/>
  <c r="C85" i="29" s="1"/>
  <c r="D85" i="29"/>
  <c r="D88" i="29" s="1"/>
  <c r="D85" i="30" l="1"/>
  <c r="D88" i="30" s="1"/>
  <c r="D99" i="30" s="1"/>
  <c r="D100" i="29"/>
  <c r="D101" i="29"/>
  <c r="D98" i="29"/>
  <c r="D99" i="29"/>
  <c r="D101" i="30" l="1"/>
  <c r="D100" i="30"/>
  <c r="D98" i="30"/>
  <c r="D102" i="29"/>
  <c r="D106" i="29" s="1"/>
  <c r="D107" i="29" s="1"/>
  <c r="D102" i="30" l="1"/>
  <c r="D106" i="30" s="1"/>
  <c r="D109" i="29"/>
  <c r="D107" i="30" l="1"/>
  <c r="B119" i="29"/>
  <c r="D114" i="29" l="1"/>
  <c r="D115" i="29"/>
  <c r="D116" i="29"/>
  <c r="D113" i="29"/>
  <c r="D117" i="29"/>
  <c r="D109" i="30"/>
  <c r="D118" i="29" l="1"/>
  <c r="B119" i="30"/>
  <c r="D114" i="30" l="1"/>
  <c r="D115" i="30"/>
  <c r="D116" i="30"/>
  <c r="D117" i="30"/>
  <c r="D113" i="30"/>
  <c r="D121" i="29"/>
  <c r="D123" i="29"/>
  <c r="D125" i="29" s="1"/>
  <c r="C121" i="29" l="1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 l="1"/>
  <c r="D121" i="30"/>
  <c r="D123" i="30"/>
  <c r="D125" i="30" s="1"/>
  <c r="C121" i="30" l="1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 l="1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 s="1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 s="1"/>
  <c r="B54" i="24"/>
  <c r="B56" i="24" s="1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 l="1"/>
  <c r="B118" i="24"/>
  <c r="D15" i="23"/>
  <c r="D16" i="23" s="1"/>
  <c r="D17" i="23" s="1"/>
  <c r="B33" i="23"/>
  <c r="B80" i="23" s="1"/>
  <c r="B102" i="23"/>
  <c r="B40" i="24"/>
  <c r="B33" i="24"/>
  <c r="B58" i="24" s="1"/>
  <c r="B55" i="24"/>
  <c r="B40" i="23"/>
  <c r="D15" i="24"/>
  <c r="D16" i="24" s="1"/>
  <c r="B102" i="24"/>
  <c r="B56" i="23"/>
  <c r="B41" i="23" l="1"/>
  <c r="B42" i="23" s="1"/>
  <c r="B81" i="23" s="1"/>
  <c r="B58" i="23"/>
  <c r="D58" i="23" s="1"/>
  <c r="C58" i="23" s="1"/>
  <c r="B61" i="24"/>
  <c r="B83" i="24" s="1"/>
  <c r="B80" i="24"/>
  <c r="B41" i="24"/>
  <c r="B42" i="24" s="1"/>
  <c r="B81" i="24" s="1"/>
  <c r="B48" i="23"/>
  <c r="B49" i="23" s="1"/>
  <c r="B82" i="23" s="1"/>
  <c r="B73" i="23"/>
  <c r="B74" i="23" s="1"/>
  <c r="B84" i="23" s="1"/>
  <c r="B61" i="23"/>
  <c r="B83" i="23" s="1"/>
  <c r="B73" i="24"/>
  <c r="B74" i="24" s="1"/>
  <c r="B84" i="24" s="1"/>
  <c r="B48" i="24"/>
  <c r="B49" i="24" s="1"/>
  <c r="B82" i="24" s="1"/>
  <c r="D28" i="23"/>
  <c r="C28" i="23" s="1"/>
  <c r="D60" i="23"/>
  <c r="C60" i="23" s="1"/>
  <c r="D67" i="23"/>
  <c r="C67" i="23" s="1"/>
  <c r="D24" i="23"/>
  <c r="D29" i="23"/>
  <c r="C29" i="23" s="1"/>
  <c r="D32" i="23"/>
  <c r="C32" i="23" s="1"/>
  <c r="D55" i="23"/>
  <c r="C55" i="23" s="1"/>
  <c r="D27" i="23"/>
  <c r="C27" i="23" s="1"/>
  <c r="D38" i="23"/>
  <c r="D30" i="23"/>
  <c r="C30" i="23" s="1"/>
  <c r="D25" i="23"/>
  <c r="C25" i="23" s="1"/>
  <c r="D68" i="23"/>
  <c r="C68" i="23" s="1"/>
  <c r="D39" i="23"/>
  <c r="C39" i="23" s="1"/>
  <c r="D47" i="23"/>
  <c r="D66" i="23"/>
  <c r="D57" i="23"/>
  <c r="D26" i="23"/>
  <c r="C26" i="23" s="1"/>
  <c r="D69" i="23"/>
  <c r="C69" i="23" s="1"/>
  <c r="D54" i="23"/>
  <c r="D31" i="23"/>
  <c r="C31" i="23" s="1"/>
  <c r="D70" i="23"/>
  <c r="C70" i="23" s="1"/>
  <c r="D71" i="23"/>
  <c r="C71" i="23" s="1"/>
  <c r="C16" i="23"/>
  <c r="C15" i="23"/>
  <c r="D17" i="24"/>
  <c r="D73" i="23" l="1"/>
  <c r="C73" i="23" s="1"/>
  <c r="B85" i="24"/>
  <c r="B85" i="23"/>
  <c r="C54" i="23"/>
  <c r="D56" i="23"/>
  <c r="C56" i="23" s="1"/>
  <c r="C66" i="23"/>
  <c r="C72" i="23" s="1"/>
  <c r="D72" i="23"/>
  <c r="C24" i="23"/>
  <c r="C33" i="23" s="1"/>
  <c r="D33" i="23"/>
  <c r="D80" i="23" s="1"/>
  <c r="D25" i="24"/>
  <c r="C25" i="24" s="1"/>
  <c r="D29" i="24"/>
  <c r="C29" i="24" s="1"/>
  <c r="D57" i="24"/>
  <c r="D69" i="24"/>
  <c r="C69" i="24" s="1"/>
  <c r="D30" i="24"/>
  <c r="C30" i="24" s="1"/>
  <c r="D55" i="24"/>
  <c r="C55" i="24" s="1"/>
  <c r="D26" i="24"/>
  <c r="C26" i="24" s="1"/>
  <c r="D27" i="24"/>
  <c r="C27" i="24" s="1"/>
  <c r="D28" i="24"/>
  <c r="C28" i="24" s="1"/>
  <c r="D32" i="24"/>
  <c r="C32" i="24" s="1"/>
  <c r="D70" i="24"/>
  <c r="C70" i="24" s="1"/>
  <c r="D73" i="24"/>
  <c r="C73" i="24" s="1"/>
  <c r="D68" i="24"/>
  <c r="C68" i="24" s="1"/>
  <c r="D24" i="24"/>
  <c r="D60" i="24"/>
  <c r="C60" i="24" s="1"/>
  <c r="D54" i="24"/>
  <c r="D66" i="24"/>
  <c r="D71" i="24"/>
  <c r="C71" i="24" s="1"/>
  <c r="D31" i="24"/>
  <c r="C31" i="24" s="1"/>
  <c r="D58" i="24"/>
  <c r="C58" i="24" s="1"/>
  <c r="D47" i="24"/>
  <c r="D39" i="24"/>
  <c r="C39" i="24" s="1"/>
  <c r="D38" i="24"/>
  <c r="D67" i="24"/>
  <c r="C67" i="24" s="1"/>
  <c r="C15" i="24"/>
  <c r="C57" i="23"/>
  <c r="D59" i="23"/>
  <c r="C59" i="23" s="1"/>
  <c r="C38" i="23"/>
  <c r="C40" i="23" s="1"/>
  <c r="D40" i="23"/>
  <c r="C16" i="24"/>
  <c r="D48" i="23"/>
  <c r="C48" i="23" s="1"/>
  <c r="C47" i="23"/>
  <c r="D74" i="23" l="1"/>
  <c r="D84" i="23" s="1"/>
  <c r="C84" i="23" s="1"/>
  <c r="C74" i="23"/>
  <c r="D49" i="23"/>
  <c r="D82" i="23" s="1"/>
  <c r="C82" i="23" s="1"/>
  <c r="C49" i="23"/>
  <c r="D41" i="23"/>
  <c r="C41" i="23" s="1"/>
  <c r="C42" i="23" s="1"/>
  <c r="D48" i="24"/>
  <c r="C48" i="24" s="1"/>
  <c r="C47" i="24"/>
  <c r="C80" i="23"/>
  <c r="D33" i="24"/>
  <c r="D80" i="24" s="1"/>
  <c r="C24" i="24"/>
  <c r="C33" i="24" s="1"/>
  <c r="D59" i="24"/>
  <c r="C59" i="24" s="1"/>
  <c r="C57" i="24"/>
  <c r="D61" i="23"/>
  <c r="D83" i="23" s="1"/>
  <c r="C83" i="23" s="1"/>
  <c r="C54" i="24"/>
  <c r="D56" i="24"/>
  <c r="C56" i="24" s="1"/>
  <c r="C66" i="24"/>
  <c r="C72" i="24" s="1"/>
  <c r="C74" i="24" s="1"/>
  <c r="D72" i="24"/>
  <c r="D74" i="24" s="1"/>
  <c r="D84" i="24" s="1"/>
  <c r="C84" i="24" s="1"/>
  <c r="D40" i="24"/>
  <c r="C38" i="24"/>
  <c r="C40" i="24" s="1"/>
  <c r="C61" i="23"/>
  <c r="D42" i="23" l="1"/>
  <c r="D81" i="23" s="1"/>
  <c r="C81" i="23" s="1"/>
  <c r="C85" i="23" s="1"/>
  <c r="D49" i="24"/>
  <c r="D82" i="24" s="1"/>
  <c r="C82" i="24" s="1"/>
  <c r="C49" i="24"/>
  <c r="C80" i="24"/>
  <c r="D61" i="24"/>
  <c r="D83" i="24" s="1"/>
  <c r="C83" i="24" s="1"/>
  <c r="D41" i="24"/>
  <c r="C41" i="24" s="1"/>
  <c r="C42" i="24" s="1"/>
  <c r="C61" i="24"/>
  <c r="D85" i="23" l="1"/>
  <c r="D88" i="23" s="1"/>
  <c r="D100" i="23" s="1"/>
  <c r="D42" i="24"/>
  <c r="D81" i="24" s="1"/>
  <c r="C81" i="24" s="1"/>
  <c r="C85" i="24" s="1"/>
  <c r="D101" i="23" l="1"/>
  <c r="D98" i="23"/>
  <c r="D99" i="23"/>
  <c r="D85" i="24"/>
  <c r="D88" i="24" s="1"/>
  <c r="D101" i="24" s="1"/>
  <c r="D102" i="23" l="1"/>
  <c r="D106" i="23" s="1"/>
  <c r="D99" i="24"/>
  <c r="D98" i="24"/>
  <c r="D100" i="24"/>
  <c r="D102" i="24" l="1"/>
  <c r="D106" i="24" s="1"/>
  <c r="D107" i="23"/>
  <c r="D109" i="23" l="1"/>
  <c r="D107" i="24"/>
  <c r="B119" i="23" l="1"/>
  <c r="D109" i="24"/>
  <c r="D116" i="23" l="1"/>
  <c r="D113" i="23"/>
  <c r="D117" i="23"/>
  <c r="D114" i="23"/>
  <c r="D115" i="23"/>
  <c r="B119" i="24"/>
  <c r="D115" i="24" l="1"/>
  <c r="D116" i="24"/>
  <c r="D117" i="24"/>
  <c r="D113" i="24"/>
  <c r="D114" i="24"/>
  <c r="D118" i="23"/>
  <c r="D121" i="23" l="1"/>
  <c r="D123" i="23"/>
  <c r="D118" i="24"/>
  <c r="D125" i="23" l="1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 l="1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 l="1"/>
</calcChain>
</file>

<file path=xl/sharedStrings.xml><?xml version="1.0" encoding="utf-8"?>
<sst xmlns="http://schemas.openxmlformats.org/spreadsheetml/2006/main" count="1068" uniqueCount="328">
  <si>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</si>
  <si>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</si>
  <si>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</si>
  <si>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</si>
  <si>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</si>
  <si>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</si>
  <si>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</si>
  <si>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</si>
  <si>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</si>
  <si>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</si>
  <si>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</si>
  <si>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</si>
  <si>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</si>
  <si>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</si>
  <si>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</si>
  <si>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</si>
  <si>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</si>
  <si>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</si>
  <si>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</si>
  <si>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</si>
  <si>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</si>
  <si>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</si>
  <si>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</si>
  <si>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</si>
  <si>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</si>
  <si>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</si>
  <si>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</si>
  <si>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</si>
  <si>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</si>
  <si>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</si>
  <si>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</si>
  <si>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</si>
  <si>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</si>
  <si>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</si>
  <si>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</si>
  <si>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</si>
  <si>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</si>
  <si>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</si>
  <si>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</si>
  <si>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</si>
  <si>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</si>
  <si>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</si>
  <si>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</si>
  <si>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</si>
  <si>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</si>
  <si>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</si>
  <si>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</si>
  <si>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</si>
  <si>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</si>
  <si>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</si>
  <si>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</si>
  <si>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</si>
  <si>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</si>
  <si>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</si>
  <si>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</si>
  <si>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</si>
  <si>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</si>
  <si>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</si>
  <si>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</si>
  <si>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</si>
  <si>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</si>
  <si>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</si>
  <si>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</si>
  <si>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</si>
  <si>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</si>
  <si>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</si>
  <si>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</si>
  <si>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</si>
  <si>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</si>
  <si>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</si>
  <si>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</si>
  <si>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</si>
  <si>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</si>
  <si>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</si>
  <si>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</si>
  <si>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</si>
  <si>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</si>
  <si>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</si>
  <si>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</si>
  <si>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</si>
  <si>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</si>
  <si>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</si>
  <si>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</si>
  <si>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</si>
  <si>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</si>
  <si>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</si>
  <si>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</si>
  <si>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</si>
  <si>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</si>
  <si>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</si>
  <si>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</si>
  <si>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</si>
  <si>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</si>
  <si>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</si>
  <si>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</si>
  <si>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</si>
  <si>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</si>
  <si>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</si>
  <si>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</si>
  <si>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</si>
  <si>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</si>
  <si>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</si>
  <si>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</si>
  <si>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</si>
  <si>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</si>
  <si>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</si>
  <si>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</si>
  <si>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</si>
  <si>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</si>
  <si>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</si>
  <si>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</si>
  <si>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</si>
  <si>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</si>
  <si>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</si>
  <si>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</si>
  <si>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</si>
  <si>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</si>
  <si>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</si>
  <si>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</si>
  <si>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</si>
  <si>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</si>
  <si>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</si>
  <si>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</si>
  <si>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</si>
  <si>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</si>
  <si>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</si>
  <si>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</si>
  <si>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</si>
  <si>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</si>
  <si>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</si>
  <si>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</si>
  <si>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</si>
  <si>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</si>
  <si>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</si>
  <si>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</si>
  <si>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</si>
  <si>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</si>
  <si>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NOME DA EMPRESA</t>
  </si>
  <si>
    <t>CNPJ</t>
  </si>
  <si>
    <t>ITEM</t>
  </si>
  <si>
    <t>DESCRIÇÃO DO SERVIÇO</t>
  </si>
  <si>
    <t>MONTANTE A</t>
  </si>
  <si>
    <t>ENCARGOS SOCIAIS</t>
  </si>
  <si>
    <t>CÉLULAS A PREENCHER</t>
  </si>
  <si>
    <t>POSTO DE TRABALHO</t>
  </si>
  <si>
    <t>DESCANSO SEMANAL REMUNERADO</t>
  </si>
  <si>
    <t>CARGA HORÁRIA SEMANAL</t>
  </si>
  <si>
    <t>Aviso Prévio Indenizado</t>
  </si>
  <si>
    <t>Aviso Prévio Trabalhado</t>
  </si>
  <si>
    <t>Multa do FGTS sobre Rescisão sem Justa Causa</t>
  </si>
  <si>
    <t>CITL - CUSTOS INDIRETOS, TRIBUTOS E LUCRO</t>
  </si>
  <si>
    <t>Custo Indireto (CI) - Taxa de administração</t>
  </si>
  <si>
    <t>PIS (T)</t>
  </si>
  <si>
    <t>COFINS (T)</t>
  </si>
  <si>
    <t>ISS (T)</t>
  </si>
  <si>
    <r>
      <t>Valor do Posto Unitário Mensal</t>
    </r>
    <r>
      <rPr>
        <sz val="10"/>
        <color indexed="8"/>
        <rFont val="Arial"/>
        <family val="2"/>
      </rPr>
      <t xml:space="preserve"> = Montante A + Montante B + CITL.</t>
    </r>
  </si>
  <si>
    <t>PAD:</t>
  </si>
  <si>
    <t>Licitação:</t>
  </si>
  <si>
    <t>Data da Proposta:</t>
  </si>
  <si>
    <t>HORA SUPLEMENTAR NOTURNA 100%</t>
  </si>
  <si>
    <t>HORA SUPLEMENTAR NOTURNA 50%</t>
  </si>
  <si>
    <t>HORA SUPLEMENTAR 50%</t>
  </si>
  <si>
    <t>HORA SUPLEMENTAR 100%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</si>
  <si>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</si>
  <si>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</si>
  <si>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</si>
  <si>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</si>
  <si>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AUXÍLIOS DECORRENTES DE JORNADA SUPLEMENTAR</t>
  </si>
  <si>
    <t>POR DIA</t>
  </si>
  <si>
    <t>AUXÍLIO TRANSPORTE SUPLEMENTAR</t>
  </si>
  <si>
    <t>VALE ALIMENTAÇÃO SUPLEMENTAR</t>
  </si>
  <si>
    <r>
      <t>INSS (CPRB)</t>
    </r>
    <r>
      <rPr>
        <sz val="10"/>
        <color rgb="FFFF0000"/>
        <rFont val="Arial"/>
        <family val="2"/>
      </rPr>
      <t>*</t>
    </r>
    <r>
      <rPr>
        <sz val="10"/>
        <color theme="1"/>
        <rFont val="Arial"/>
        <family val="2"/>
      </rPr>
      <t xml:space="preserve"> (T)</t>
    </r>
  </si>
  <si>
    <r>
      <rPr>
        <sz val="8"/>
        <color rgb="FFFF0000"/>
        <rFont val="Arial"/>
        <family val="2"/>
      </rPr>
      <t>*</t>
    </r>
    <r>
      <rPr>
        <sz val="8"/>
        <color theme="1"/>
        <rFont val="Arial"/>
        <family val="2"/>
      </rPr>
      <t xml:space="preserve"> Preencher somente se a empresa for optante pela desoneração da folha de pagamento (Lei 12546/2011; Item 6.5.1 do Acórdão nº 1212/2014-TCU).</t>
    </r>
  </si>
  <si>
    <t>TRIBUNAL REGIONAL ELEITORAL DO PARANÁ</t>
  </si>
  <si>
    <t>HORA EXTRA</t>
  </si>
  <si>
    <t>PAD</t>
  </si>
  <si>
    <t>HR SALÁRIO COM 50% DE ACRÉSCIMO</t>
  </si>
  <si>
    <t>HR SALÁRIO COM 100% DE ACRÉSCIMO</t>
  </si>
  <si>
    <t>HR SALÁRIO NOTURNO COM 50% DE ACRÉSCIMO</t>
  </si>
  <si>
    <t>HR SALÁRIO NOTURNO COM 100% DE ACRÉSCIMO</t>
  </si>
  <si>
    <t>AUXÍLIO TRANSPORTE *</t>
  </si>
  <si>
    <t>AUXÍLIO ALIMENTAÇÃO *</t>
  </si>
  <si>
    <r>
      <rPr>
        <b/>
        <sz val="10"/>
        <rFont val="Arial"/>
        <family val="2"/>
      </rPr>
      <t>Adicional Noturno</t>
    </r>
    <r>
      <rPr>
        <sz val="10"/>
        <rFont val="Arial"/>
        <family val="2"/>
      </rPr>
      <t>: 20% sobre a hora reduzida de 52,5 min.</t>
    </r>
  </si>
  <si>
    <t>* Valor diário devido no caso de realização de H.E. no sábado, domingo ou feriado.</t>
  </si>
  <si>
    <r>
      <t>Dias úteis = 21:</t>
    </r>
    <r>
      <rPr>
        <sz val="10"/>
        <rFont val="Arial"/>
        <family val="2"/>
      </rPr>
      <t xml:space="preserve"> [ ( 365 / 7 ) X 5 - 9 ] / 12 = 20,98 (Acórdão TCU nº 1904/07 Plenário).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</si>
  <si>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</si>
  <si>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r>
      <t>Auxílio Alimentação:</t>
    </r>
    <r>
      <rPr>
        <sz val="10"/>
        <rFont val="Arial"/>
        <family val="2"/>
      </rPr>
      <t xml:space="preserve"> Cláusula Nona, Inciso I - (Curitiba).</t>
    </r>
  </si>
  <si>
    <t>Posto de Trabalho - Tecnólogo em Desing Gráfico</t>
  </si>
  <si>
    <t>6252/2019</t>
  </si>
  <si>
    <t>Resumo Contratual</t>
  </si>
  <si>
    <t>Quantidade de Postos</t>
  </si>
  <si>
    <t>Valor Total Contratual</t>
  </si>
  <si>
    <r>
      <t>Limite de Horas Extras:</t>
    </r>
    <r>
      <rPr>
        <sz val="10"/>
        <rFont val="Arial"/>
        <family val="2"/>
      </rPr>
      <t xml:space="preserve"> 02 por dia, conforme Cláusula Décima Oitava da CCT.</t>
    </r>
  </si>
  <si>
    <t>Vigência
(Meses)</t>
  </si>
  <si>
    <t>Observações</t>
  </si>
  <si>
    <t>Desconto PAT (%)</t>
  </si>
  <si>
    <t>Módulo 1 - Composição da Remuneração</t>
  </si>
  <si>
    <t>Salário Base</t>
  </si>
  <si>
    <t>Adicional de Periculosidade</t>
  </si>
  <si>
    <t>Adicional de Insalubridade</t>
  </si>
  <si>
    <t>Adicional Noturno</t>
  </si>
  <si>
    <t>Adicional de Hora Noturna Reduzida</t>
  </si>
  <si>
    <t>A</t>
  </si>
  <si>
    <t>D</t>
  </si>
  <si>
    <t>B</t>
  </si>
  <si>
    <t>Soma</t>
  </si>
  <si>
    <t>Módulo 2 - Encargos e Benefícios Anuais, Mensais e Diários</t>
  </si>
  <si>
    <t>Submódulo 2.1 - 13º (décimo terceiro) Salário, Férias e Adicional de Férias</t>
  </si>
  <si>
    <t>C</t>
  </si>
  <si>
    <t>E</t>
  </si>
  <si>
    <t>F</t>
  </si>
  <si>
    <t>Submódulo 2.2 - Encargos Previdenciários (GPS), Fundo de Garantia por Tempo de Serviço (FGTS) e outras contribuições</t>
  </si>
  <si>
    <t>SAT</t>
  </si>
  <si>
    <t>SESC ou SESI</t>
  </si>
  <si>
    <t>SENAI ou SENAC</t>
  </si>
  <si>
    <t>H</t>
  </si>
  <si>
    <t>G</t>
  </si>
  <si>
    <t>Submódulo 2.3 - Benefícios Mensais e Diários.</t>
  </si>
  <si>
    <t>Vale Transporte</t>
  </si>
  <si>
    <t>Auxílio Alimentação</t>
  </si>
  <si>
    <t>Outros (especificar aqui)</t>
  </si>
  <si>
    <t>Outros Benefícios (especificar aqui)</t>
  </si>
  <si>
    <t>Valor Unitário</t>
  </si>
  <si>
    <t>Quantidade Diária</t>
  </si>
  <si>
    <t>Subtotal - Módulo 1</t>
  </si>
  <si>
    <t xml:space="preserve">Subtotal  - Módulo 2 </t>
  </si>
  <si>
    <t>Módulo 3 - Provisão para Rescisão</t>
  </si>
  <si>
    <t>Incidência do FGTS sobre o Aviso Prévio Indenizado</t>
  </si>
  <si>
    <t>A x 2.2</t>
  </si>
  <si>
    <t>Multa do FGTS e contribuição social sobre o Aviso Prévio Indenizado</t>
  </si>
  <si>
    <t>Incidência de GPS, FGTS e outras contribuições sobre o Aviso Prévio Trabalhado</t>
  </si>
  <si>
    <t>D x 2.2</t>
  </si>
  <si>
    <t>Multa do FGTS e contribuição social sobre o Aviso Prévio Trabalhado</t>
  </si>
  <si>
    <t>Subtotal  - Módulo 3</t>
  </si>
  <si>
    <t>Módulo 4 -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</si>
  <si>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</si>
  <si>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</si>
  <si>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</si>
  <si>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</si>
  <si>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0,04% a 0,08%</t>
  </si>
  <si>
    <t>Substituto na cobertura de Ausência por acidente de trabalho</t>
  </si>
  <si>
    <t>Substituto na cobertura de Afastamento Maternidade</t>
  </si>
  <si>
    <t>Submódulo 4.2 - Intrajornada</t>
  </si>
  <si>
    <t>Substituto na cobertura de Intervalo para repouso ou alimentação</t>
  </si>
  <si>
    <t>Módulo 5 - Insumos Diversos</t>
  </si>
  <si>
    <t>Uniformes</t>
  </si>
  <si>
    <t>Materiais</t>
  </si>
  <si>
    <t>Equipamentos</t>
  </si>
  <si>
    <t>Outros (especificar)</t>
  </si>
  <si>
    <t>Subtotal  - Módulo 4</t>
  </si>
  <si>
    <t>Subtotal  - Módulo 5</t>
  </si>
  <si>
    <t>Módulo 6 - Custos Indiretos, Tributos e Lucro</t>
  </si>
  <si>
    <t>Lucro Real</t>
  </si>
  <si>
    <t>Lucro Presumido</t>
  </si>
  <si>
    <t>Resumo - Custo por Empregado</t>
  </si>
  <si>
    <t>Taxa de Lucro (L)</t>
  </si>
  <si>
    <t>Desoneração da F.</t>
  </si>
  <si>
    <t>Valor Unitário do Posto</t>
  </si>
  <si>
    <t>Custo Unitário Mensal</t>
  </si>
  <si>
    <t>Estimativa Mensal para Fato Gerador</t>
  </si>
  <si>
    <t>Mínimo Unitário Mensal</t>
  </si>
  <si>
    <t>Substituto por ausências legais</t>
  </si>
  <si>
    <t>Incidência de GPS, FGTS e outras contribuições sobre o Custo de Reposição</t>
  </si>
  <si>
    <t>Subtotal (A+B+C+D+E)</t>
  </si>
  <si>
    <t>Pagamento de ausências</t>
  </si>
  <si>
    <t>Remuneração</t>
  </si>
  <si>
    <t xml:space="preserve">13º Proporcional </t>
  </si>
  <si>
    <t>Encargos Sociais (Submódulo 2.2)</t>
  </si>
  <si>
    <t>Férias e Adicional de Férias Proporcionais</t>
  </si>
  <si>
    <t>Total</t>
  </si>
  <si>
    <t>Custos Indiretos, Tributos e Lucro (Módulo 6)</t>
  </si>
  <si>
    <t>Base de Cálculos para Custo do Profissional Ausente (BCCPA)</t>
  </si>
  <si>
    <t>Valor por dia de substituição ( BCCPA / 30 )</t>
  </si>
  <si>
    <t>Pagamento do 13º Salário</t>
  </si>
  <si>
    <t>Valor equivalente mensal para cáculo do 13º</t>
  </si>
  <si>
    <t>Pagamento de Férias</t>
  </si>
  <si>
    <t xml:space="preserve">Adicional de férias </t>
  </si>
  <si>
    <t>Cálculo da Rescisão</t>
  </si>
  <si>
    <t>Demissão a Pedido</t>
  </si>
  <si>
    <t>13º Proporcional</t>
  </si>
  <si>
    <t>Férias e Adicional</t>
  </si>
  <si>
    <t>Item</t>
  </si>
  <si>
    <t>Meses</t>
  </si>
  <si>
    <t>Valor 1/12</t>
  </si>
  <si>
    <t>Valor equivalente mensal</t>
  </si>
  <si>
    <r>
      <t xml:space="preserve">3 Dias por Ano (Lei 12506/11): </t>
    </r>
    <r>
      <rPr>
        <sz val="8"/>
        <rFont val="Arial"/>
        <family val="2"/>
      </rPr>
      <t>{ [ ( Rem / 30 ) X 3 ] / 12 } + CITL</t>
    </r>
  </si>
  <si>
    <t>Demissão Com Aviso Prévio Trabalhado</t>
  </si>
  <si>
    <t>Demissão Com Aviso Prévio Indenizado</t>
  </si>
  <si>
    <r>
      <t xml:space="preserve">Mês Indenizado: </t>
    </r>
    <r>
      <rPr>
        <sz val="8"/>
        <rFont val="Arial"/>
        <family val="2"/>
      </rPr>
      <t>( Rem /12 ) + CITL</t>
    </r>
  </si>
  <si>
    <t>Convenção ou Acordo Coletivo utilizado:</t>
  </si>
  <si>
    <t>Vigência:</t>
  </si>
  <si>
    <t>PLANILHA DE CUSTOS E FORMAÇÃO DE PREÇOS - PAGAMENTO PELO FATO GERADOR - ESTIMATIVA TRE/PR</t>
  </si>
  <si>
    <t>Cálculo de Falta</t>
  </si>
  <si>
    <t>Valor por dia de falta (sem considerar o DSR)</t>
  </si>
  <si>
    <t>20% sobre a remuneração.</t>
  </si>
  <si>
    <t>1,5% sobre a remuneração.</t>
  </si>
  <si>
    <t>0,2% sobre a remuneração.</t>
  </si>
  <si>
    <t>1% sobre a remuneração</t>
  </si>
  <si>
    <t>2,5% sobre a remuneração.</t>
  </si>
  <si>
    <t>0,6% sobre a remuneração.</t>
  </si>
  <si>
    <t>Art. 22, inciso II, alineas "b" e "c" da Lei 8.212/91; Decreto nº 6042/07; Anexo da Resolução MPS/CNPS nº 1.329/17 (Fator Acidentário de Prevenção - FAP). (1%, 2% ou 3%) X (de 0,5 a 2)</t>
  </si>
  <si>
    <t>Art. 15 da Lei. 8036/90 e art 7º, inciso III, da Constituição Federal de 05/10/88.</t>
  </si>
  <si>
    <t>Lei 7.418/1985.</t>
  </si>
  <si>
    <t>Art. 458 da CLT.</t>
  </si>
  <si>
    <t>D60 X 8%</t>
  </si>
  <si>
    <t>D63 X D43</t>
  </si>
  <si>
    <t>Valor devido ao empregado no caso sem justa causa e sem aviso prévio, conforme disposto no § 1º do art. 487 da CLT. De acordo com levantamento efetuado em diversos contratos, cerca de 5% do pessoal é demitido pelo empregador, antes do término do contrato de trabalho. ((1/12) X 0,05) X 100 = 0,42%</t>
  </si>
  <si>
    <t>Indenização de 7 dias nos casos sem justa causa e com aviso prévio, conforme disposto no art. 488 da CLT.  (Acordão TCU 1186/2017).
((7 / 30) / 12) X 100 = 1,94%</t>
  </si>
  <si>
    <t>Art. 7º, IX, da CF; Art. 73 da Lei 13.467/2017.</t>
  </si>
  <si>
    <t>Art. 7º, XXIII, da CF; Art. 193, § 1º, da CLT.</t>
  </si>
  <si>
    <t>Art. 7º, XXIII, da CF; Art. 611-A, inciso XII, da CLT.</t>
  </si>
  <si>
    <t>Art. 73,  § 1º, da CLT.</t>
  </si>
  <si>
    <r>
      <t xml:space="preserve">Auxílio Transporte: </t>
    </r>
    <r>
      <rPr>
        <sz val="10"/>
        <rFont val="Arial"/>
        <family val="2"/>
      </rPr>
      <t>( Valor do VT X Quant. diária X 21 ) -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6% do salário do empregado.</t>
    </r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</si>
  <si>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: Percentual máximo de 39,80% - Submódulo 2.2.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</si>
  <si>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 (Conf. Art. 73 da CLT).</t>
    </r>
  </si>
  <si>
    <t>13º (décimo terceiro) Salário</t>
  </si>
  <si>
    <t>A constituição Federal no Art.  7º inciso XIII, prevê o décimo terceiro salário com base na remuneração integral. Portanto, cada trabalhador faz jus a um salário por ano a esse título. (1/12)</t>
  </si>
  <si>
    <t>Adicional de Férias</t>
  </si>
  <si>
    <t xml:space="preserve">A Constituição Federal no Art. 7º inciso XVII, dispõe que é direito do trabalhador o "gozo de férias anuais remuneradas com, pelo menos, um terço a mais do que o salário normal". [(1/3)/12] </t>
  </si>
  <si>
    <t>Fundamento Legal / Cálculo</t>
  </si>
  <si>
    <t>D63 X 8% X 40%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</si>
  <si>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salário.
0,08 X 0,4 X 0,9 X [1 + 1/12 + 1/12 + (1/3 X 1/12)] = 3,44%</t>
  </si>
  <si>
    <r>
      <t xml:space="preserve">Estimativa: </t>
    </r>
    <r>
      <rPr>
        <sz val="10"/>
        <rFont val="Arial"/>
        <family val="2"/>
      </rPr>
      <t xml:space="preserve">Realizada com base na Convenção Coletiva de Trabalho de 2019/2020 do SINDESPAR, especificamente para o </t>
    </r>
    <r>
      <rPr>
        <u/>
        <sz val="10"/>
        <rFont val="Arial"/>
        <family val="2"/>
      </rPr>
      <t>Município de Curitiba.</t>
    </r>
  </si>
  <si>
    <t>SINDESPAR 2019/2020 - MTE 002411/2019</t>
  </si>
  <si>
    <t>01/06/2019 a 31/05/2020</t>
  </si>
  <si>
    <r>
      <rPr>
        <sz val="11"/>
        <rFont val="Arial"/>
        <family val="2"/>
      </rPr>
      <t xml:space="preserve">Multa FGTS:  </t>
    </r>
    <r>
      <rPr>
        <sz val="8"/>
        <rFont val="Arial"/>
        <family val="2"/>
      </rPr>
      <t>( {  [ ( Rem X 13 ) + ( Rem X 33%) ]  X 8% } X 40% ) / 12 ) + CITL</t>
    </r>
  </si>
  <si>
    <t>Designer Gráfico (CBO 2624-10) - 40hs</t>
  </si>
  <si>
    <t>D60 X 8% X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</si>
</sst>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dd/mm/yy;@"/>
    <numFmt numFmtId="170" formatCode="&quot;R$&quot;\ #,##0.00"/>
    <numFmt numFmtId="171" formatCode="#,##0.0000"/>
    <numFmt numFmtId="172" formatCode="#,##0.000000"/>
    <numFmt numFmtId="173" formatCode="#,##0.0000000"/>
    <numFmt numFmtId="174" formatCode="#,##0.000000000"/>
  </numFmts>
  <fonts count="50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2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b/>
      <sz val="10"/>
      <color theme="6" tint="-0.499984740745262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sz val="8"/>
      <color rgb="FFFF0000"/>
      <name val="Arial"/>
      <family val="2"/>
    </font>
    <font>
      <b/>
      <sz val="12"/>
      <color theme="6" tint="-0.499984740745262"/>
      <name val="Arial"/>
      <family val="2"/>
    </font>
    <font>
      <b/>
      <sz val="14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3"/>
      <color theme="6" tint="-0.499984740745262"/>
      <name val="Calibri"/>
      <family val="2"/>
      <scheme val="minor"/>
    </font>
    <font>
      <sz val="10"/>
      <color theme="6" tint="-0.499984740745262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 tint="-0.499984740745262"/>
      <name val="Arial"/>
      <family val="2"/>
    </font>
    <font>
      <b/>
      <sz val="13"/>
      <color theme="0" tint="-0.499984740745262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4" tint="0.79992065187536243"/>
      </patternFill>
    </fill>
    <fill>
      <patternFill patternType="gray0625">
        <bgColor rgb="FFFFFFCC"/>
      </patternFill>
    </fill>
    <fill>
      <patternFill patternType="gray0625">
        <bgColor theme="4" tint="0.79995117038483843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6" tint="0.39994506668294322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6" tint="0.39994506668294322"/>
      </top>
      <bottom style="thin">
        <color indexed="64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thick">
        <color theme="0" tint="-0.24994659260841701"/>
      </bottom>
      <diagonal/>
    </border>
    <border>
      <left/>
      <right/>
      <top style="thick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3" tint="0.39994506668294322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0" fillId="0" borderId="48" applyNumberFormat="0" applyFill="0" applyAlignment="0" applyProtection="0"/>
  </cellStyleXfs>
  <cellXfs count="650">
    <xf numFmtId="0" fontId="0" fillId="0" borderId="0" xfId="0"/>
    <xf numFmtId="167" fontId="3" fillId="0" borderId="0" xfId="0" applyNumberFormat="1" applyFont="1" applyProtection="1">
      <protection locked="0"/>
    </xf>
    <xf numFmtId="167" fontId="3" fillId="0" borderId="0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0" fontId="1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10" fontId="13" fillId="0" borderId="0" xfId="0" applyNumberFormat="1" applyFont="1" applyBorder="1" applyProtection="1">
      <protection locked="0"/>
    </xf>
    <xf numFmtId="10" fontId="3" fillId="0" borderId="0" xfId="0" applyNumberFormat="1" applyFont="1" applyProtection="1">
      <protection locked="0"/>
    </xf>
    <xf numFmtId="10" fontId="9" fillId="0" borderId="27" xfId="0" applyNumberFormat="1" applyFont="1" applyBorder="1" applyAlignment="1" applyProtection="1">
      <alignment horizontal="justify" vertical="justify" wrapText="1"/>
      <protection locked="0"/>
    </xf>
    <xf numFmtId="0" fontId="9" fillId="0" borderId="28" xfId="0" applyFont="1" applyBorder="1" applyAlignment="1" applyProtection="1">
      <alignment horizontal="justify" vertical="justify"/>
      <protection locked="0"/>
    </xf>
    <xf numFmtId="0" fontId="3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66" fontId="14" fillId="0" borderId="0" xfId="0" applyNumberFormat="1" applyFont="1" applyFill="1" applyBorder="1" applyProtection="1">
      <protection locked="0"/>
    </xf>
    <xf numFmtId="167" fontId="2" fillId="0" borderId="0" xfId="0" applyNumberFormat="1" applyFont="1" applyFill="1" applyBorder="1" applyAlignment="1" applyProtection="1">
      <alignment horizontal="center"/>
      <protection locked="0"/>
    </xf>
    <xf numFmtId="10" fontId="5" fillId="4" borderId="3" xfId="0" applyNumberFormat="1" applyFont="1" applyFill="1" applyBorder="1" applyAlignment="1" applyProtection="1">
      <alignment vertical="center"/>
    </xf>
    <xf numFmtId="10" fontId="13" fillId="4" borderId="32" xfId="0" applyNumberFormat="1" applyFont="1" applyFill="1" applyBorder="1" applyAlignment="1" applyProtection="1">
      <alignment vertical="center"/>
    </xf>
    <xf numFmtId="10" fontId="5" fillId="3" borderId="20" xfId="0" applyNumberFormat="1" applyFont="1" applyFill="1" applyBorder="1" applyAlignment="1" applyProtection="1">
      <alignment vertical="center"/>
    </xf>
    <xf numFmtId="10" fontId="13" fillId="0" borderId="0" xfId="0" applyNumberFormat="1" applyFont="1" applyAlignment="1" applyProtection="1">
      <alignment vertical="center"/>
    </xf>
    <xf numFmtId="166" fontId="4" fillId="3" borderId="20" xfId="0" applyNumberFormat="1" applyFont="1" applyFill="1" applyBorder="1" applyAlignment="1" applyProtection="1">
      <alignment vertical="center"/>
    </xf>
    <xf numFmtId="10" fontId="5" fillId="3" borderId="20" xfId="0" applyNumberFormat="1" applyFont="1" applyFill="1" applyBorder="1" applyProtection="1"/>
    <xf numFmtId="166" fontId="4" fillId="3" borderId="20" xfId="0" applyNumberFormat="1" applyFont="1" applyFill="1" applyBorder="1" applyProtection="1"/>
    <xf numFmtId="166" fontId="10" fillId="3" borderId="20" xfId="0" applyNumberFormat="1" applyFont="1" applyFill="1" applyBorder="1" applyProtection="1"/>
    <xf numFmtId="10" fontId="5" fillId="4" borderId="20" xfId="0" applyNumberFormat="1" applyFont="1" applyFill="1" applyBorder="1" applyProtection="1"/>
    <xf numFmtId="10" fontId="5" fillId="4" borderId="33" xfId="0" applyNumberFormat="1" applyFont="1" applyFill="1" applyBorder="1" applyProtection="1"/>
    <xf numFmtId="166" fontId="2" fillId="4" borderId="2" xfId="0" applyNumberFormat="1" applyFont="1" applyFill="1" applyBorder="1" applyProtection="1"/>
    <xf numFmtId="10" fontId="13" fillId="3" borderId="26" xfId="0" applyNumberFormat="1" applyFont="1" applyFill="1" applyBorder="1" applyProtection="1"/>
    <xf numFmtId="167" fontId="2" fillId="3" borderId="20" xfId="0" applyNumberFormat="1" applyFont="1" applyFill="1" applyBorder="1" applyProtection="1"/>
    <xf numFmtId="166" fontId="13" fillId="4" borderId="20" xfId="0" applyNumberFormat="1" applyFont="1" applyFill="1" applyBorder="1" applyProtection="1"/>
    <xf numFmtId="166" fontId="2" fillId="0" borderId="2" xfId="0" applyNumberFormat="1" applyFont="1" applyBorder="1" applyProtection="1"/>
    <xf numFmtId="167" fontId="2" fillId="5" borderId="3" xfId="0" applyNumberFormat="1" applyFont="1" applyFill="1" applyBorder="1" applyProtection="1"/>
    <xf numFmtId="10" fontId="5" fillId="4" borderId="1" xfId="0" applyNumberFormat="1" applyFont="1" applyFill="1" applyBorder="1" applyProtection="1"/>
    <xf numFmtId="167" fontId="4" fillId="3" borderId="20" xfId="0" applyNumberFormat="1" applyFont="1" applyFill="1" applyBorder="1" applyProtection="1"/>
    <xf numFmtId="166" fontId="3" fillId="0" borderId="0" xfId="0" applyNumberFormat="1" applyFont="1" applyAlignment="1" applyProtection="1">
      <alignment vertical="center"/>
    </xf>
    <xf numFmtId="166" fontId="5" fillId="0" borderId="13" xfId="0" applyNumberFormat="1" applyFont="1" applyBorder="1" applyAlignment="1" applyProtection="1">
      <alignment horizontal="center" vertical="center"/>
    </xf>
    <xf numFmtId="167" fontId="2" fillId="3" borderId="20" xfId="0" applyNumberFormat="1" applyFont="1" applyFill="1" applyBorder="1" applyAlignment="1" applyProtection="1">
      <alignment vertical="center"/>
    </xf>
    <xf numFmtId="10" fontId="13" fillId="4" borderId="3" xfId="0" applyNumberFormat="1" applyFont="1" applyFill="1" applyBorder="1" applyAlignment="1" applyProtection="1">
      <alignment vertical="center"/>
    </xf>
    <xf numFmtId="0" fontId="7" fillId="0" borderId="3" xfId="0" applyFont="1" applyBorder="1" applyAlignment="1" applyProtection="1">
      <alignment horizontal="left"/>
    </xf>
    <xf numFmtId="168" fontId="2" fillId="2" borderId="3" xfId="0" applyNumberFormat="1" applyFont="1" applyFill="1" applyBorder="1" applyAlignment="1" applyProtection="1">
      <alignment horizontal="center"/>
    </xf>
    <xf numFmtId="167" fontId="2" fillId="0" borderId="3" xfId="0" applyNumberFormat="1" applyFont="1" applyFill="1" applyBorder="1" applyAlignment="1" applyProtection="1">
      <alignment horizontal="center"/>
    </xf>
    <xf numFmtId="167" fontId="2" fillId="0" borderId="0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</xf>
    <xf numFmtId="167" fontId="2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9" fontId="2" fillId="2" borderId="10" xfId="2" applyFont="1" applyFill="1" applyBorder="1" applyAlignment="1" applyProtection="1">
      <alignment horizontal="center" vertical="center"/>
    </xf>
    <xf numFmtId="10" fontId="5" fillId="4" borderId="16" xfId="0" applyNumberFormat="1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horizontal="center"/>
    </xf>
    <xf numFmtId="0" fontId="3" fillId="0" borderId="4" xfId="0" applyFont="1" applyBorder="1" applyAlignment="1" applyProtection="1">
      <alignment vertical="center"/>
    </xf>
    <xf numFmtId="167" fontId="3" fillId="0" borderId="11" xfId="0" applyNumberFormat="1" applyFont="1" applyBorder="1" applyAlignment="1" applyProtection="1">
      <alignment vertical="center"/>
    </xf>
    <xf numFmtId="166" fontId="2" fillId="2" borderId="8" xfId="0" applyNumberFormat="1" applyFont="1" applyFill="1" applyBorder="1" applyAlignment="1" applyProtection="1">
      <alignment vertical="center"/>
    </xf>
    <xf numFmtId="0" fontId="9" fillId="0" borderId="28" xfId="0" applyFont="1" applyBorder="1" applyAlignment="1" applyProtection="1">
      <alignment horizontal="justify" vertical="justify"/>
    </xf>
    <xf numFmtId="166" fontId="2" fillId="2" borderId="9" xfId="0" applyNumberFormat="1" applyFont="1" applyFill="1" applyBorder="1" applyAlignment="1" applyProtection="1">
      <alignment vertical="center"/>
    </xf>
    <xf numFmtId="0" fontId="2" fillId="3" borderId="19" xfId="0" applyFont="1" applyFill="1" applyBorder="1" applyAlignment="1" applyProtection="1">
      <alignment vertical="center"/>
    </xf>
    <xf numFmtId="167" fontId="2" fillId="3" borderId="12" xfId="0" applyNumberFormat="1" applyFont="1" applyFill="1" applyBorder="1" applyAlignment="1" applyProtection="1">
      <alignment vertical="center"/>
    </xf>
    <xf numFmtId="0" fontId="9" fillId="3" borderId="20" xfId="0" applyFont="1" applyFill="1" applyBorder="1" applyAlignment="1" applyProtection="1">
      <alignment horizontal="justify" vertical="justify"/>
    </xf>
    <xf numFmtId="0" fontId="3" fillId="0" borderId="0" xfId="0" applyFont="1" applyAlignment="1" applyProtection="1">
      <alignment vertical="center"/>
    </xf>
    <xf numFmtId="167" fontId="3" fillId="0" borderId="0" xfId="0" applyNumberFormat="1" applyFont="1" applyAlignment="1" applyProtection="1">
      <alignment vertical="center"/>
    </xf>
    <xf numFmtId="0" fontId="9" fillId="0" borderId="0" xfId="0" applyFont="1" applyProtection="1"/>
    <xf numFmtId="167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7" fontId="2" fillId="2" borderId="10" xfId="0" applyNumberFormat="1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vertical="center"/>
    </xf>
    <xf numFmtId="167" fontId="2" fillId="2" borderId="2" xfId="0" applyNumberFormat="1" applyFont="1" applyFill="1" applyBorder="1" applyAlignment="1" applyProtection="1">
      <alignment vertical="center"/>
    </xf>
    <xf numFmtId="10" fontId="9" fillId="0" borderId="27" xfId="0" applyNumberFormat="1" applyFont="1" applyBorder="1" applyAlignment="1" applyProtection="1">
      <alignment horizontal="justify" vertical="justify" wrapText="1"/>
    </xf>
    <xf numFmtId="0" fontId="3" fillId="0" borderId="5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horizontal="justify" vertical="justify"/>
    </xf>
    <xf numFmtId="0" fontId="2" fillId="3" borderId="20" xfId="0" applyFont="1" applyFill="1" applyBorder="1" applyAlignment="1" applyProtection="1">
      <alignment vertical="center"/>
    </xf>
    <xf numFmtId="10" fontId="9" fillId="0" borderId="20" xfId="0" applyNumberFormat="1" applyFont="1" applyBorder="1" applyAlignment="1" applyProtection="1">
      <alignment horizontal="justify" vertical="justify" wrapText="1"/>
    </xf>
    <xf numFmtId="0" fontId="9" fillId="0" borderId="27" xfId="0" applyNumberFormat="1" applyFont="1" applyFill="1" applyBorder="1" applyAlignment="1" applyProtection="1">
      <alignment horizontal="justify" vertical="justify"/>
    </xf>
    <xf numFmtId="0" fontId="9" fillId="3" borderId="20" xfId="0" applyFont="1" applyFill="1" applyBorder="1" applyProtection="1"/>
    <xf numFmtId="167" fontId="3" fillId="0" borderId="0" xfId="0" applyNumberFormat="1" applyFont="1" applyProtection="1"/>
    <xf numFmtId="10" fontId="13" fillId="0" borderId="0" xfId="0" applyNumberFormat="1" applyFont="1" applyProtection="1"/>
    <xf numFmtId="166" fontId="3" fillId="0" borderId="0" xfId="0" applyNumberFormat="1" applyFont="1" applyProtection="1"/>
    <xf numFmtId="10" fontId="5" fillId="4" borderId="13" xfId="0" applyNumberFormat="1" applyFont="1" applyFill="1" applyBorder="1" applyAlignment="1" applyProtection="1">
      <alignment horizontal="center"/>
    </xf>
    <xf numFmtId="0" fontId="2" fillId="3" borderId="19" xfId="0" applyFont="1" applyFill="1" applyBorder="1" applyProtection="1"/>
    <xf numFmtId="0" fontId="3" fillId="0" borderId="0" xfId="0" applyFont="1" applyProtection="1"/>
    <xf numFmtId="167" fontId="3" fillId="3" borderId="12" xfId="0" applyNumberFormat="1" applyFont="1" applyFill="1" applyBorder="1" applyProtection="1"/>
    <xf numFmtId="10" fontId="13" fillId="0" borderId="24" xfId="0" applyNumberFormat="1" applyFont="1" applyBorder="1" applyProtection="1"/>
    <xf numFmtId="166" fontId="3" fillId="0" borderId="24" xfId="0" applyNumberFormat="1" applyFont="1" applyBorder="1" applyProtection="1"/>
    <xf numFmtId="0" fontId="2" fillId="0" borderId="25" xfId="0" applyFont="1" applyBorder="1" applyAlignment="1" applyProtection="1">
      <alignment horizontal="center"/>
    </xf>
    <xf numFmtId="167" fontId="3" fillId="0" borderId="0" xfId="0" applyNumberFormat="1" applyFont="1" applyBorder="1" applyProtection="1"/>
    <xf numFmtId="10" fontId="13" fillId="0" borderId="0" xfId="0" applyNumberFormat="1" applyFont="1" applyBorder="1" applyProtection="1"/>
    <xf numFmtId="166" fontId="3" fillId="0" borderId="0" xfId="0" applyNumberFormat="1" applyFont="1" applyBorder="1" applyProtection="1"/>
    <xf numFmtId="10" fontId="5" fillId="4" borderId="16" xfId="0" applyNumberFormat="1" applyFont="1" applyFill="1" applyBorder="1" applyAlignment="1" applyProtection="1">
      <alignment horizontal="center"/>
    </xf>
    <xf numFmtId="0" fontId="9" fillId="0" borderId="22" xfId="0" applyFont="1" applyBorder="1" applyProtection="1"/>
    <xf numFmtId="0" fontId="9" fillId="3" borderId="29" xfId="0" applyFont="1" applyFill="1" applyBorder="1" applyProtection="1"/>
    <xf numFmtId="0" fontId="3" fillId="0" borderId="25" xfId="0" applyFont="1" applyBorder="1" applyProtection="1"/>
    <xf numFmtId="0" fontId="9" fillId="3" borderId="20" xfId="0" applyFont="1" applyFill="1" applyBorder="1" applyAlignment="1" applyProtection="1">
      <alignment horizontal="left"/>
    </xf>
    <xf numFmtId="0" fontId="9" fillId="0" borderId="22" xfId="0" applyFont="1" applyBorder="1" applyAlignment="1" applyProtection="1">
      <alignment horizontal="left"/>
    </xf>
    <xf numFmtId="0" fontId="5" fillId="0" borderId="20" xfId="0" applyFont="1" applyFill="1" applyBorder="1" applyAlignment="1" applyProtection="1">
      <alignment horizontal="center"/>
    </xf>
    <xf numFmtId="167" fontId="2" fillId="2" borderId="10" xfId="0" applyNumberFormat="1" applyFont="1" applyFill="1" applyBorder="1" applyAlignment="1" applyProtection="1">
      <alignment horizontal="center"/>
    </xf>
    <xf numFmtId="166" fontId="5" fillId="4" borderId="13" xfId="0" applyNumberFormat="1" applyFont="1" applyFill="1" applyBorder="1" applyAlignment="1" applyProtection="1">
      <alignment horizontal="center"/>
    </xf>
    <xf numFmtId="0" fontId="3" fillId="0" borderId="23" xfId="0" applyFont="1" applyBorder="1" applyProtection="1"/>
    <xf numFmtId="0" fontId="2" fillId="2" borderId="4" xfId="0" applyFont="1" applyFill="1" applyBorder="1" applyProtection="1"/>
    <xf numFmtId="0" fontId="5" fillId="0" borderId="25" xfId="0" applyFont="1" applyBorder="1" applyProtection="1"/>
    <xf numFmtId="0" fontId="9" fillId="0" borderId="24" xfId="0" applyFont="1" applyBorder="1" applyProtection="1"/>
    <xf numFmtId="167" fontId="13" fillId="0" borderId="0" xfId="0" applyNumberFormat="1" applyFont="1" applyBorder="1" applyProtection="1"/>
    <xf numFmtId="0" fontId="9" fillId="0" borderId="30" xfId="0" applyFont="1" applyBorder="1" applyProtection="1"/>
    <xf numFmtId="0" fontId="6" fillId="0" borderId="19" xfId="0" applyFont="1" applyBorder="1" applyAlignment="1" applyProtection="1">
      <alignment horizontal="left"/>
    </xf>
    <xf numFmtId="167" fontId="3" fillId="0" borderId="12" xfId="0" applyNumberFormat="1" applyFont="1" applyBorder="1" applyProtection="1"/>
    <xf numFmtId="10" fontId="13" fillId="0" borderId="26" xfId="0" applyNumberFormat="1" applyFont="1" applyBorder="1" applyProtection="1"/>
    <xf numFmtId="0" fontId="5" fillId="0" borderId="2" xfId="0" applyFont="1" applyFill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  <xf numFmtId="164" fontId="9" fillId="0" borderId="8" xfId="0" applyNumberFormat="1" applyFont="1" applyBorder="1" applyProtection="1"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0" fontId="9" fillId="0" borderId="8" xfId="0" applyNumberFormat="1" applyFont="1" applyBorder="1" applyAlignment="1" applyProtection="1">
      <alignment horizontal="justify" vertical="justify" wrapText="1"/>
      <protection locked="0"/>
    </xf>
    <xf numFmtId="0" fontId="3" fillId="0" borderId="8" xfId="0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167" fontId="2" fillId="3" borderId="3" xfId="0" applyNumberFormat="1" applyFont="1" applyFill="1" applyBorder="1" applyProtection="1"/>
    <xf numFmtId="166" fontId="4" fillId="6" borderId="20" xfId="0" applyNumberFormat="1" applyFont="1" applyFill="1" applyBorder="1" applyProtection="1"/>
    <xf numFmtId="10" fontId="6" fillId="6" borderId="20" xfId="0" applyNumberFormat="1" applyFont="1" applyFill="1" applyBorder="1" applyAlignment="1" applyProtection="1">
      <alignment horizontal="right"/>
    </xf>
    <xf numFmtId="166" fontId="6" fillId="6" borderId="20" xfId="0" applyNumberFormat="1" applyFont="1" applyFill="1" applyBorder="1" applyAlignment="1" applyProtection="1">
      <alignment horizontal="right"/>
    </xf>
    <xf numFmtId="0" fontId="7" fillId="0" borderId="38" xfId="0" applyFont="1" applyBorder="1" applyAlignment="1" applyProtection="1">
      <alignment horizontal="left"/>
      <protection locked="0"/>
    </xf>
    <xf numFmtId="0" fontId="7" fillId="0" borderId="41" xfId="0" applyFont="1" applyBorder="1" applyAlignment="1" applyProtection="1">
      <alignment horizontal="left"/>
      <protection locked="0"/>
    </xf>
    <xf numFmtId="0" fontId="7" fillId="0" borderId="32" xfId="0" applyFont="1" applyBorder="1" applyAlignment="1" applyProtection="1">
      <alignment horizontal="left"/>
      <protection locked="0"/>
    </xf>
    <xf numFmtId="10" fontId="2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Protection="1">
      <protection locked="0"/>
    </xf>
    <xf numFmtId="166" fontId="3" fillId="0" borderId="3" xfId="0" applyNumberFormat="1" applyFont="1" applyBorder="1" applyAlignment="1" applyProtection="1">
      <alignment vertical="center"/>
    </xf>
    <xf numFmtId="164" fontId="3" fillId="5" borderId="3" xfId="3" applyFont="1" applyFill="1" applyBorder="1" applyAlignment="1" applyProtection="1">
      <alignment vertical="center"/>
    </xf>
    <xf numFmtId="10" fontId="13" fillId="3" borderId="3" xfId="0" applyNumberFormat="1" applyFont="1" applyFill="1" applyBorder="1" applyAlignment="1" applyProtection="1">
      <alignment vertical="center"/>
    </xf>
    <xf numFmtId="167" fontId="2" fillId="3" borderId="3" xfId="0" applyNumberFormat="1" applyFont="1" applyFill="1" applyBorder="1" applyAlignment="1" applyProtection="1">
      <alignment vertical="center"/>
    </xf>
    <xf numFmtId="10" fontId="2" fillId="3" borderId="3" xfId="0" applyNumberFormat="1" applyFont="1" applyFill="1" applyBorder="1" applyAlignment="1" applyProtection="1">
      <alignment vertical="center"/>
    </xf>
    <xf numFmtId="10" fontId="5" fillId="3" borderId="3" xfId="0" applyNumberFormat="1" applyFont="1" applyFill="1" applyBorder="1" applyAlignment="1" applyProtection="1">
      <alignment vertical="center"/>
    </xf>
    <xf numFmtId="166" fontId="2" fillId="3" borderId="3" xfId="0" applyNumberFormat="1" applyFont="1" applyFill="1" applyBorder="1" applyAlignment="1" applyProtection="1">
      <alignment vertical="center"/>
    </xf>
    <xf numFmtId="167" fontId="2" fillId="2" borderId="3" xfId="0" applyNumberFormat="1" applyFont="1" applyFill="1" applyBorder="1" applyAlignment="1" applyProtection="1">
      <alignment vertical="center"/>
    </xf>
    <xf numFmtId="10" fontId="5" fillId="4" borderId="3" xfId="0" applyNumberFormat="1" applyFont="1" applyFill="1" applyBorder="1" applyProtection="1"/>
    <xf numFmtId="166" fontId="2" fillId="0" borderId="3" xfId="0" applyNumberFormat="1" applyFont="1" applyBorder="1" applyProtection="1"/>
    <xf numFmtId="10" fontId="2" fillId="3" borderId="3" xfId="0" applyNumberFormat="1" applyFont="1" applyFill="1" applyBorder="1" applyProtection="1"/>
    <xf numFmtId="166" fontId="3" fillId="3" borderId="3" xfId="0" applyNumberFormat="1" applyFont="1" applyFill="1" applyBorder="1" applyAlignment="1" applyProtection="1">
      <alignment vertical="center"/>
    </xf>
    <xf numFmtId="166" fontId="10" fillId="6" borderId="28" xfId="0" applyNumberFormat="1" applyFont="1" applyFill="1" applyBorder="1" applyAlignment="1" applyProtection="1">
      <alignment vertical="center"/>
    </xf>
    <xf numFmtId="10" fontId="13" fillId="6" borderId="43" xfId="0" applyNumberFormat="1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left"/>
      <protection locked="0"/>
    </xf>
    <xf numFmtId="0" fontId="2" fillId="5" borderId="8" xfId="0" applyFont="1" applyFill="1" applyBorder="1" applyAlignment="1" applyProtection="1">
      <alignment horizontal="left"/>
      <protection locked="0"/>
    </xf>
    <xf numFmtId="0" fontId="3" fillId="0" borderId="8" xfId="0" applyFont="1" applyBorder="1" applyAlignment="1" applyProtection="1">
      <alignment shrinkToFit="1"/>
      <protection locked="0"/>
    </xf>
    <xf numFmtId="0" fontId="6" fillId="0" borderId="0" xfId="0" applyFont="1" applyAlignment="1" applyProtection="1">
      <alignment horizontal="left"/>
    </xf>
    <xf numFmtId="166" fontId="5" fillId="5" borderId="17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167" fontId="2" fillId="2" borderId="34" xfId="0" applyNumberFormat="1" applyFont="1" applyFill="1" applyBorder="1" applyAlignment="1" applyProtection="1">
      <alignment horizontal="center" vertical="center"/>
    </xf>
    <xf numFmtId="0" fontId="3" fillId="5" borderId="7" xfId="0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10" fontId="2" fillId="2" borderId="3" xfId="0" applyNumberFormat="1" applyFont="1" applyFill="1" applyBorder="1" applyAlignment="1" applyProtection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justify" wrapText="1"/>
    </xf>
    <xf numFmtId="10" fontId="3" fillId="0" borderId="0" xfId="0" applyNumberFormat="1" applyFont="1" applyAlignment="1" applyProtection="1">
      <alignment vertical="center"/>
    </xf>
    <xf numFmtId="0" fontId="5" fillId="0" borderId="7" xfId="0" applyFont="1" applyFill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 vertical="center"/>
    </xf>
    <xf numFmtId="10" fontId="2" fillId="2" borderId="36" xfId="0" applyNumberFormat="1" applyFont="1" applyFill="1" applyBorder="1" applyAlignment="1" applyProtection="1">
      <alignment horizontal="center" vertical="center"/>
    </xf>
    <xf numFmtId="10" fontId="5" fillId="4" borderId="37" xfId="0" applyNumberFormat="1" applyFont="1" applyFill="1" applyBorder="1" applyAlignment="1" applyProtection="1">
      <alignment vertical="center"/>
    </xf>
    <xf numFmtId="166" fontId="5" fillId="0" borderId="35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2" fillId="0" borderId="38" xfId="0" applyFont="1" applyBorder="1" applyAlignment="1" applyProtection="1">
      <alignment horizontal="center" vertical="center"/>
    </xf>
    <xf numFmtId="10" fontId="5" fillId="4" borderId="39" xfId="0" applyNumberFormat="1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justify" vertical="center"/>
    </xf>
    <xf numFmtId="0" fontId="3" fillId="0" borderId="8" xfId="0" applyFont="1" applyBorder="1" applyProtection="1"/>
    <xf numFmtId="0" fontId="2" fillId="0" borderId="0" xfId="0" applyFont="1" applyBorder="1" applyAlignment="1" applyProtection="1">
      <alignment horizontal="left"/>
    </xf>
    <xf numFmtId="10" fontId="2" fillId="2" borderId="40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justify" vertical="center" wrapText="1"/>
    </xf>
    <xf numFmtId="0" fontId="3" fillId="5" borderId="41" xfId="0" applyFont="1" applyFill="1" applyBorder="1" applyProtection="1"/>
    <xf numFmtId="0" fontId="2" fillId="0" borderId="3" xfId="0" applyFont="1" applyBorder="1" applyProtection="1"/>
    <xf numFmtId="0" fontId="2" fillId="3" borderId="3" xfId="0" applyFont="1" applyFill="1" applyBorder="1" applyProtection="1"/>
    <xf numFmtId="0" fontId="2" fillId="0" borderId="0" xfId="0" applyFont="1" applyFill="1" applyBorder="1" applyAlignment="1" applyProtection="1">
      <alignment vertical="center"/>
    </xf>
    <xf numFmtId="0" fontId="5" fillId="5" borderId="7" xfId="0" applyFont="1" applyFill="1" applyBorder="1" applyAlignment="1" applyProtection="1">
      <alignment horizontal="center"/>
    </xf>
    <xf numFmtId="0" fontId="2" fillId="5" borderId="7" xfId="0" applyFont="1" applyFill="1" applyBorder="1" applyAlignment="1" applyProtection="1">
      <alignment horizontal="center" vertical="center"/>
    </xf>
    <xf numFmtId="10" fontId="2" fillId="2" borderId="42" xfId="0" applyNumberFormat="1" applyFont="1" applyFill="1" applyBorder="1" applyAlignment="1" applyProtection="1">
      <alignment horizontal="center" vertical="center"/>
    </xf>
    <xf numFmtId="10" fontId="5" fillId="4" borderId="7" xfId="0" applyNumberFormat="1" applyFont="1" applyFill="1" applyBorder="1" applyAlignment="1" applyProtection="1">
      <alignment vertical="center"/>
    </xf>
    <xf numFmtId="166" fontId="5" fillId="5" borderId="38" xfId="0" applyNumberFormat="1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/>
    </xf>
    <xf numFmtId="0" fontId="15" fillId="5" borderId="3" xfId="0" applyFont="1" applyFill="1" applyBorder="1" applyAlignment="1" applyProtection="1">
      <alignment horizontal="justify" wrapText="1"/>
    </xf>
    <xf numFmtId="0" fontId="5" fillId="5" borderId="8" xfId="0" applyFont="1" applyFill="1" applyBorder="1" applyAlignment="1" applyProtection="1">
      <alignment horizontal="center"/>
    </xf>
    <xf numFmtId="0" fontId="9" fillId="5" borderId="8" xfId="0" applyFont="1" applyFill="1" applyBorder="1" applyAlignment="1" applyProtection="1">
      <alignment vertical="justify"/>
    </xf>
    <xf numFmtId="0" fontId="15" fillId="5" borderId="3" xfId="0" applyFont="1" applyFill="1" applyBorder="1" applyAlignment="1" applyProtection="1">
      <alignment horizontal="justify" vertical="top" wrapText="1"/>
    </xf>
    <xf numFmtId="0" fontId="7" fillId="5" borderId="8" xfId="0" applyFont="1" applyFill="1" applyBorder="1" applyProtection="1"/>
    <xf numFmtId="0" fontId="2" fillId="3" borderId="3" xfId="0" applyFont="1" applyFill="1" applyBorder="1" applyAlignment="1" applyProtection="1">
      <alignment vertical="center"/>
    </xf>
    <xf numFmtId="0" fontId="9" fillId="3" borderId="8" xfId="0" applyFont="1" applyFill="1" applyBorder="1" applyProtection="1"/>
    <xf numFmtId="10" fontId="5" fillId="3" borderId="3" xfId="0" applyNumberFormat="1" applyFont="1" applyFill="1" applyBorder="1" applyAlignment="1" applyProtection="1">
      <alignment horizontal="center" vertical="center"/>
    </xf>
    <xf numFmtId="166" fontId="5" fillId="3" borderId="3" xfId="0" applyNumberFormat="1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 applyProtection="1">
      <alignment vertical="center"/>
    </xf>
    <xf numFmtId="10" fontId="3" fillId="6" borderId="11" xfId="0" applyNumberFormat="1" applyFont="1" applyFill="1" applyBorder="1" applyAlignment="1" applyProtection="1">
      <alignment vertical="center"/>
    </xf>
    <xf numFmtId="10" fontId="7" fillId="6" borderId="5" xfId="0" applyNumberFormat="1" applyFont="1" applyFill="1" applyBorder="1" applyAlignment="1" applyProtection="1">
      <alignment horizontal="justify" vertical="justify" wrapText="1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3" xfId="0" applyFont="1" applyFill="1" applyBorder="1" applyAlignment="1" applyProtection="1">
      <alignment vertical="center"/>
    </xf>
    <xf numFmtId="166" fontId="5" fillId="5" borderId="13" xfId="0" applyNumberFormat="1" applyFont="1" applyFill="1" applyBorder="1" applyAlignment="1" applyProtection="1">
      <alignment horizontal="center"/>
    </xf>
    <xf numFmtId="167" fontId="2" fillId="5" borderId="5" xfId="0" applyNumberFormat="1" applyFont="1" applyFill="1" applyBorder="1" applyProtection="1"/>
    <xf numFmtId="167" fontId="2" fillId="5" borderId="6" xfId="0" applyNumberFormat="1" applyFont="1" applyFill="1" applyBorder="1" applyProtection="1"/>
    <xf numFmtId="0" fontId="3" fillId="0" borderId="24" xfId="0" applyFont="1" applyBorder="1" applyProtection="1"/>
    <xf numFmtId="0" fontId="9" fillId="0" borderId="24" xfId="0" applyFont="1" applyBorder="1" applyAlignment="1" applyProtection="1">
      <alignment horizontal="left"/>
    </xf>
    <xf numFmtId="0" fontId="2" fillId="5" borderId="31" xfId="0" applyFont="1" applyFill="1" applyBorder="1" applyAlignment="1" applyProtection="1">
      <alignment horizontal="left"/>
    </xf>
    <xf numFmtId="0" fontId="2" fillId="6" borderId="19" xfId="0" applyFont="1" applyFill="1" applyBorder="1" applyProtection="1"/>
    <xf numFmtId="167" fontId="3" fillId="6" borderId="12" xfId="0" applyNumberFormat="1" applyFont="1" applyFill="1" applyBorder="1" applyProtection="1"/>
    <xf numFmtId="10" fontId="13" fillId="6" borderId="26" xfId="0" applyNumberFormat="1" applyFont="1" applyFill="1" applyBorder="1" applyProtection="1"/>
    <xf numFmtId="0" fontId="9" fillId="6" borderId="20" xfId="0" applyFont="1" applyFill="1" applyBorder="1" applyAlignment="1" applyProtection="1">
      <alignment horizontal="left"/>
    </xf>
    <xf numFmtId="0" fontId="3" fillId="5" borderId="4" xfId="0" applyFont="1" applyFill="1" applyBorder="1" applyProtection="1"/>
    <xf numFmtId="0" fontId="2" fillId="6" borderId="19" xfId="0" applyFont="1" applyFill="1" applyBorder="1" applyAlignment="1" applyProtection="1">
      <alignment horizontal="left"/>
    </xf>
    <xf numFmtId="0" fontId="9" fillId="6" borderId="20" xfId="0" applyFont="1" applyFill="1" applyBorder="1" applyProtection="1"/>
    <xf numFmtId="167" fontId="18" fillId="2" borderId="2" xfId="0" applyNumberFormat="1" applyFont="1" applyFill="1" applyBorder="1" applyAlignment="1" applyProtection="1">
      <alignment vertical="center"/>
    </xf>
    <xf numFmtId="167" fontId="18" fillId="3" borderId="3" xfId="0" applyNumberFormat="1" applyFont="1" applyFill="1" applyBorder="1" applyAlignment="1" applyProtection="1">
      <alignment vertical="center"/>
    </xf>
    <xf numFmtId="0" fontId="7" fillId="0" borderId="38" xfId="0" applyFont="1" applyBorder="1" applyAlignment="1" applyProtection="1">
      <alignment horizontal="left"/>
    </xf>
    <xf numFmtId="0" fontId="7" fillId="0" borderId="41" xfId="0" applyFont="1" applyBorder="1" applyAlignment="1" applyProtection="1">
      <alignment horizontal="left"/>
    </xf>
    <xf numFmtId="0" fontId="7" fillId="0" borderId="32" xfId="0" applyFont="1" applyBorder="1" applyAlignment="1" applyProtection="1">
      <alignment horizontal="left"/>
    </xf>
    <xf numFmtId="10" fontId="2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Fill="1" applyBorder="1" applyProtection="1"/>
    <xf numFmtId="0" fontId="2" fillId="5" borderId="11" xfId="0" applyFont="1" applyFill="1" applyBorder="1" applyAlignment="1" applyProtection="1">
      <alignment horizontal="left"/>
    </xf>
    <xf numFmtId="0" fontId="2" fillId="5" borderId="8" xfId="0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9" fillId="0" borderId="8" xfId="0" applyFont="1" applyBorder="1" applyProtection="1"/>
    <xf numFmtId="164" fontId="9" fillId="0" borderId="8" xfId="0" applyNumberFormat="1" applyFont="1" applyBorder="1" applyProtection="1"/>
    <xf numFmtId="10" fontId="9" fillId="0" borderId="8" xfId="0" applyNumberFormat="1" applyFont="1" applyBorder="1" applyAlignment="1" applyProtection="1">
      <alignment horizontal="justify" vertical="justify" wrapText="1"/>
    </xf>
    <xf numFmtId="0" fontId="3" fillId="0" borderId="8" xfId="0" applyFont="1" applyBorder="1" applyAlignment="1" applyProtection="1">
      <alignment shrinkToFit="1"/>
    </xf>
    <xf numFmtId="0" fontId="2" fillId="0" borderId="8" xfId="0" applyFont="1" applyBorder="1" applyProtection="1"/>
    <xf numFmtId="166" fontId="14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2" fillId="0" borderId="0" xfId="0" applyFont="1" applyProtection="1"/>
    <xf numFmtId="0" fontId="3" fillId="0" borderId="0" xfId="0" applyFont="1" applyFill="1" applyBorder="1" applyProtection="1"/>
    <xf numFmtId="10" fontId="3" fillId="0" borderId="0" xfId="0" applyNumberFormat="1" applyFont="1" applyProtection="1"/>
    <xf numFmtId="0" fontId="20" fillId="0" borderId="0" xfId="0" applyFont="1" applyFill="1" applyBorder="1" applyProtection="1"/>
    <xf numFmtId="0" fontId="19" fillId="0" borderId="0" xfId="0" applyFont="1" applyFill="1" applyAlignment="1" applyProtection="1">
      <alignment horizontal="right"/>
    </xf>
    <xf numFmtId="0" fontId="21" fillId="0" borderId="0" xfId="0" applyFont="1" applyProtection="1"/>
    <xf numFmtId="0" fontId="0" fillId="0" borderId="0" xfId="0" applyProtection="1"/>
    <xf numFmtId="0" fontId="6" fillId="9" borderId="0" xfId="0" applyFont="1" applyFill="1" applyBorder="1" applyAlignment="1" applyProtection="1">
      <alignment horizontal="center" vertical="center"/>
    </xf>
    <xf numFmtId="10" fontId="9" fillId="9" borderId="0" xfId="0" applyNumberFormat="1" applyFont="1" applyFill="1" applyBorder="1" applyAlignment="1" applyProtection="1">
      <alignment horizontal="justify" vertical="center"/>
    </xf>
    <xf numFmtId="0" fontId="7" fillId="9" borderId="0" xfId="0" applyFont="1" applyFill="1" applyBorder="1" applyAlignment="1" applyProtection="1">
      <alignment horizontal="center" vertical="center"/>
    </xf>
    <xf numFmtId="0" fontId="1" fillId="9" borderId="0" xfId="0" applyFont="1" applyFill="1" applyBorder="1" applyAlignment="1" applyProtection="1">
      <alignment vertical="center"/>
    </xf>
    <xf numFmtId="167" fontId="1" fillId="9" borderId="0" xfId="0" applyNumberFormat="1" applyFont="1" applyFill="1" applyBorder="1" applyAlignment="1" applyProtection="1">
      <alignment horizontal="right" vertical="center" indent="1"/>
    </xf>
    <xf numFmtId="0" fontId="9" fillId="9" borderId="0" xfId="0" applyFont="1" applyFill="1" applyBorder="1" applyAlignment="1" applyProtection="1">
      <alignment vertical="center"/>
    </xf>
    <xf numFmtId="0" fontId="1" fillId="9" borderId="0" xfId="0" applyFont="1" applyFill="1" applyBorder="1" applyAlignment="1" applyProtection="1">
      <alignment horizontal="right" vertical="center" indent="1"/>
    </xf>
    <xf numFmtId="10" fontId="1" fillId="9" borderId="2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/>
    </xf>
    <xf numFmtId="0" fontId="21" fillId="0" borderId="0" xfId="0" applyFont="1" applyBorder="1" applyProtection="1"/>
    <xf numFmtId="0" fontId="0" fillId="0" borderId="0" xfId="0" applyBorder="1" applyProtection="1"/>
    <xf numFmtId="0" fontId="1" fillId="9" borderId="0" xfId="0" applyFont="1" applyFill="1" applyBorder="1" applyProtection="1"/>
    <xf numFmtId="0" fontId="1" fillId="9" borderId="3" xfId="4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4" fontId="1" fillId="9" borderId="0" xfId="0" applyNumberFormat="1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2" fillId="9" borderId="0" xfId="4" applyFont="1" applyFill="1" applyBorder="1" applyAlignment="1" applyProtection="1">
      <alignment horizontal="right" vertical="center" wrapText="1"/>
    </xf>
    <xf numFmtId="0" fontId="6" fillId="9" borderId="0" xfId="4" applyFont="1" applyFill="1" applyBorder="1" applyAlignment="1" applyProtection="1">
      <alignment horizontal="righ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8" borderId="2" xfId="4" applyFont="1" applyFill="1" applyBorder="1" applyAlignment="1" applyProtection="1">
      <alignment horizontal="center" vertical="center" wrapText="1"/>
    </xf>
    <xf numFmtId="0" fontId="1" fillId="0" borderId="0" xfId="4" applyFont="1" applyFill="1"/>
    <xf numFmtId="0" fontId="1" fillId="0" borderId="0" xfId="4" applyFont="1"/>
    <xf numFmtId="0" fontId="1" fillId="9" borderId="0" xfId="4" applyFont="1" applyFill="1" applyProtection="1"/>
    <xf numFmtId="0" fontId="1" fillId="0" borderId="0" xfId="4" applyFont="1" applyFill="1" applyAlignment="1">
      <alignment vertical="center"/>
    </xf>
    <xf numFmtId="0" fontId="1" fillId="0" borderId="0" xfId="4" applyFont="1" applyAlignment="1">
      <alignment vertical="center"/>
    </xf>
    <xf numFmtId="0" fontId="6" fillId="9" borderId="0" xfId="4" applyFont="1" applyFill="1" applyBorder="1" applyAlignment="1" applyProtection="1">
      <alignment horizontal="center" vertical="center"/>
    </xf>
    <xf numFmtId="0" fontId="6" fillId="9" borderId="52" xfId="4" applyFont="1" applyFill="1" applyBorder="1" applyAlignment="1" applyProtection="1">
      <alignment horizontal="center" vertical="center"/>
    </xf>
    <xf numFmtId="0" fontId="1" fillId="9" borderId="0" xfId="4" applyFont="1" applyFill="1" applyAlignment="1" applyProtection="1">
      <alignment vertical="center"/>
    </xf>
    <xf numFmtId="0" fontId="6" fillId="0" borderId="1" xfId="4" applyFont="1" applyBorder="1" applyAlignment="1" applyProtection="1">
      <alignment horizontal="center" vertical="center"/>
    </xf>
    <xf numFmtId="0" fontId="6" fillId="7" borderId="3" xfId="4" applyFont="1" applyFill="1" applyBorder="1" applyAlignment="1" applyProtection="1">
      <alignment horizontal="center" vertical="center" wrapText="1"/>
    </xf>
    <xf numFmtId="0" fontId="1" fillId="9" borderId="3" xfId="4" applyFont="1" applyFill="1" applyBorder="1" applyAlignment="1" applyProtection="1">
      <alignment horizontal="center" wrapText="1"/>
    </xf>
    <xf numFmtId="0" fontId="1" fillId="0" borderId="1" xfId="4" applyFont="1" applyBorder="1" applyAlignment="1" applyProtection="1">
      <alignment horizontal="center" vertical="center"/>
    </xf>
    <xf numFmtId="0" fontId="6" fillId="9" borderId="0" xfId="4" applyFont="1" applyFill="1" applyBorder="1" applyAlignment="1" applyProtection="1">
      <alignment horizontal="center" vertical="center" wrapText="1"/>
    </xf>
    <xf numFmtId="4" fontId="1" fillId="0" borderId="0" xfId="4" applyNumberFormat="1" applyFont="1" applyFill="1" applyBorder="1" applyAlignment="1">
      <alignment horizontal="center" vertical="center"/>
    </xf>
    <xf numFmtId="4" fontId="1" fillId="0" borderId="0" xfId="4" applyNumberFormat="1" applyFont="1" applyFill="1" applyBorder="1" applyAlignment="1">
      <alignment vertical="center"/>
    </xf>
    <xf numFmtId="0" fontId="6" fillId="10" borderId="3" xfId="4" applyFont="1" applyFill="1" applyBorder="1" applyAlignment="1" applyProtection="1">
      <alignment horizontal="center" vertical="center" wrapText="1"/>
    </xf>
    <xf numFmtId="0" fontId="6" fillId="5" borderId="56" xfId="4" applyFont="1" applyFill="1" applyBorder="1" applyAlignment="1" applyProtection="1">
      <alignment horizontal="center" vertical="center" wrapText="1"/>
    </xf>
    <xf numFmtId="0" fontId="22" fillId="0" borderId="3" xfId="4" applyFont="1" applyFill="1" applyBorder="1" applyAlignment="1" applyProtection="1">
      <alignment horizontal="center" vertical="center"/>
    </xf>
    <xf numFmtId="4" fontId="22" fillId="0" borderId="3" xfId="4" applyNumberFormat="1" applyFont="1" applyFill="1" applyBorder="1" applyAlignment="1" applyProtection="1">
      <alignment horizontal="left" vertical="center"/>
    </xf>
    <xf numFmtId="4" fontId="22" fillId="0" borderId="3" xfId="4" applyNumberFormat="1" applyFont="1" applyFill="1" applyBorder="1" applyAlignment="1" applyProtection="1">
      <alignment horizontal="right" vertical="center" indent="1"/>
    </xf>
    <xf numFmtId="4" fontId="1" fillId="9" borderId="3" xfId="4" applyNumberFormat="1" applyFont="1" applyFill="1" applyBorder="1" applyAlignment="1" applyProtection="1">
      <alignment horizontal="right" vertical="center" indent="1"/>
    </xf>
    <xf numFmtId="170" fontId="6" fillId="9" borderId="3" xfId="4" applyNumberFormat="1" applyFont="1" applyFill="1" applyBorder="1" applyAlignment="1" applyProtection="1">
      <alignment horizontal="right" vertical="center" indent="1"/>
    </xf>
    <xf numFmtId="0" fontId="6" fillId="5" borderId="3" xfId="4" applyFont="1" applyFill="1" applyBorder="1" applyAlignment="1" applyProtection="1">
      <alignment horizontal="center" vertical="center" wrapText="1"/>
    </xf>
    <xf numFmtId="0" fontId="6" fillId="11" borderId="2" xfId="4" applyFont="1" applyFill="1" applyBorder="1" applyAlignment="1" applyProtection="1">
      <alignment horizontal="center" vertical="center" wrapText="1"/>
    </xf>
    <xf numFmtId="0" fontId="6" fillId="9" borderId="2" xfId="4" applyFont="1" applyFill="1" applyBorder="1" applyAlignment="1" applyProtection="1">
      <alignment horizontal="center" vertical="center" wrapText="1"/>
    </xf>
    <xf numFmtId="0" fontId="6" fillId="5" borderId="59" xfId="4" applyFont="1" applyFill="1" applyBorder="1" applyAlignment="1" applyProtection="1">
      <alignment vertical="center" wrapText="1"/>
    </xf>
    <xf numFmtId="0" fontId="6" fillId="9" borderId="0" xfId="4" applyFont="1" applyFill="1" applyBorder="1" applyAlignment="1" applyProtection="1">
      <alignment vertical="center" wrapText="1"/>
    </xf>
    <xf numFmtId="0" fontId="6" fillId="5" borderId="3" xfId="4" applyFont="1" applyFill="1" applyBorder="1" applyAlignment="1" applyProtection="1">
      <alignment vertical="center"/>
    </xf>
    <xf numFmtId="0" fontId="6" fillId="5" borderId="3" xfId="4" applyFont="1" applyFill="1" applyBorder="1" applyAlignment="1" applyProtection="1">
      <alignment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9" borderId="3" xfId="4" applyFont="1" applyFill="1" applyBorder="1" applyAlignment="1" applyProtection="1">
      <alignment horizontal="center" vertical="center" textRotation="255"/>
    </xf>
    <xf numFmtId="0" fontId="6" fillId="9" borderId="3" xfId="4" applyFont="1" applyFill="1" applyBorder="1" applyAlignment="1" applyProtection="1">
      <alignment horizontal="center" vertical="center" textRotation="255" wrapText="1"/>
    </xf>
    <xf numFmtId="170" fontId="1" fillId="9" borderId="3" xfId="1" applyNumberFormat="1" applyFont="1" applyFill="1" applyBorder="1" applyAlignment="1" applyProtection="1">
      <alignment horizontal="center" vertical="center"/>
    </xf>
    <xf numFmtId="0" fontId="1" fillId="9" borderId="0" xfId="4" applyFont="1" applyFill="1" applyBorder="1" applyAlignment="1" applyProtection="1">
      <alignment horizontal="center"/>
    </xf>
    <xf numFmtId="4" fontId="6" fillId="9" borderId="0" xfId="4" applyNumberFormat="1" applyFont="1" applyFill="1" applyBorder="1" applyAlignment="1" applyProtection="1">
      <alignment horizontal="center"/>
    </xf>
    <xf numFmtId="4" fontId="1" fillId="9" borderId="0" xfId="4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>
      <alignment horizontal="left" vertical="center"/>
    </xf>
    <xf numFmtId="0" fontId="1" fillId="0" borderId="0" xfId="4" applyFill="1" applyAlignment="1">
      <alignment horizontal="left" vertical="center"/>
    </xf>
    <xf numFmtId="0" fontId="6" fillId="0" borderId="0" xfId="4" applyFont="1" applyFill="1" applyAlignment="1">
      <alignment vertical="center"/>
    </xf>
    <xf numFmtId="2" fontId="1" fillId="0" borderId="0" xfId="4" applyNumberFormat="1" applyFont="1" applyFill="1" applyAlignment="1">
      <alignment vertical="center"/>
    </xf>
    <xf numFmtId="0" fontId="1" fillId="0" borderId="0" xfId="4" applyFont="1" applyAlignment="1">
      <alignment horizontal="left" vertical="center"/>
    </xf>
    <xf numFmtId="0" fontId="6" fillId="0" borderId="0" xfId="4" applyFont="1" applyFill="1"/>
    <xf numFmtId="2" fontId="1" fillId="0" borderId="0" xfId="4" applyNumberFormat="1" applyFont="1" applyFill="1"/>
    <xf numFmtId="0" fontId="24" fillId="0" borderId="0" xfId="4" applyFont="1" applyFill="1"/>
    <xf numFmtId="0" fontId="24" fillId="0" borderId="0" xfId="4" applyFont="1"/>
    <xf numFmtId="0" fontId="25" fillId="0" borderId="0" xfId="4" applyFont="1"/>
    <xf numFmtId="0" fontId="20" fillId="0" borderId="0" xfId="0" applyFont="1" applyFill="1" applyBorder="1" applyAlignment="1" applyProtection="1"/>
    <xf numFmtId="0" fontId="41" fillId="0" borderId="53" xfId="5" applyFont="1" applyFill="1" applyBorder="1" applyAlignment="1" applyProtection="1">
      <alignment horizontal="left"/>
    </xf>
    <xf numFmtId="0" fontId="41" fillId="0" borderId="53" xfId="5" applyFont="1" applyBorder="1" applyAlignment="1" applyProtection="1">
      <alignment horizontal="left" vertical="center"/>
    </xf>
    <xf numFmtId="4" fontId="41" fillId="9" borderId="53" xfId="5" applyNumberFormat="1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horizontal="left"/>
    </xf>
    <xf numFmtId="0" fontId="41" fillId="0" borderId="0" xfId="5" applyFont="1" applyBorder="1" applyAlignment="1" applyProtection="1">
      <alignment horizontal="left" vertical="center"/>
    </xf>
    <xf numFmtId="4" fontId="41" fillId="9" borderId="0" xfId="5" applyNumberFormat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right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left"/>
    </xf>
    <xf numFmtId="0" fontId="6" fillId="9" borderId="0" xfId="4" applyFont="1" applyFill="1" applyBorder="1" applyAlignment="1" applyProtection="1">
      <alignment vertical="center" textRotation="90" wrapText="1"/>
    </xf>
    <xf numFmtId="4" fontId="1" fillId="9" borderId="0" xfId="0" applyNumberFormat="1" applyFont="1" applyFill="1" applyBorder="1" applyAlignment="1" applyProtection="1">
      <alignment horizontal="center" vertical="center" wrapText="1"/>
    </xf>
    <xf numFmtId="10" fontId="1" fillId="9" borderId="1" xfId="2" applyNumberFormat="1" applyFont="1" applyFill="1" applyBorder="1" applyAlignment="1" applyProtection="1">
      <alignment horizontal="center"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1" fillId="0" borderId="0" xfId="0" applyFont="1"/>
    <xf numFmtId="0" fontId="6" fillId="9" borderId="1" xfId="4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10" fontId="1" fillId="10" borderId="1" xfId="2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horizontal="left" vertical="center"/>
    </xf>
    <xf numFmtId="10" fontId="6" fillId="9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6" fillId="9" borderId="38" xfId="4" applyFont="1" applyFill="1" applyBorder="1" applyAlignment="1" applyProtection="1">
      <alignment horizontal="center" vertical="center" wrapText="1"/>
    </xf>
    <xf numFmtId="0" fontId="6" fillId="9" borderId="47" xfId="4" applyFont="1" applyFill="1" applyBorder="1" applyAlignment="1" applyProtection="1">
      <alignment horizontal="center" vertical="center" wrapText="1"/>
    </xf>
    <xf numFmtId="0" fontId="1" fillId="0" borderId="47" xfId="0" applyFont="1" applyBorder="1" applyAlignment="1" applyProtection="1">
      <alignment horizontal="left" vertical="center"/>
    </xf>
    <xf numFmtId="0" fontId="0" fillId="0" borderId="47" xfId="0" applyBorder="1"/>
    <xf numFmtId="0" fontId="1" fillId="12" borderId="3" xfId="0" applyFont="1" applyFill="1" applyBorder="1" applyAlignment="1" applyProtection="1">
      <alignment horizontal="left" vertical="center"/>
    </xf>
    <xf numFmtId="0" fontId="6" fillId="9" borderId="0" xfId="4" applyFont="1" applyFill="1" applyBorder="1" applyAlignment="1" applyProtection="1">
      <alignment horizontal="left" vertical="center" wrapText="1"/>
    </xf>
    <xf numFmtId="0" fontId="6" fillId="9" borderId="33" xfId="4" applyFont="1" applyFill="1" applyBorder="1" applyAlignment="1" applyProtection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0" fontId="1" fillId="0" borderId="4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4" fontId="6" fillId="9" borderId="51" xfId="0" applyNumberFormat="1" applyFont="1" applyFill="1" applyBorder="1" applyAlignment="1" applyProtection="1">
      <alignment horizontal="center" vertical="center"/>
    </xf>
    <xf numFmtId="4" fontId="1" fillId="11" borderId="3" xfId="0" applyNumberFormat="1" applyFont="1" applyFill="1" applyBorder="1" applyAlignment="1" applyProtection="1">
      <alignment horizontal="right" vertical="center" indent="2"/>
    </xf>
    <xf numFmtId="4" fontId="1" fillId="9" borderId="51" xfId="0" applyNumberFormat="1" applyFont="1" applyFill="1" applyBorder="1" applyAlignment="1" applyProtection="1">
      <alignment horizontal="right" vertical="center" indent="2"/>
    </xf>
    <xf numFmtId="4" fontId="1" fillId="7" borderId="5" xfId="0" applyNumberFormat="1" applyFont="1" applyFill="1" applyBorder="1" applyAlignment="1" applyProtection="1">
      <alignment horizontal="right" vertical="center" indent="2"/>
    </xf>
    <xf numFmtId="4" fontId="1" fillId="9" borderId="0" xfId="0" applyNumberFormat="1" applyFont="1" applyFill="1" applyBorder="1" applyAlignment="1" applyProtection="1">
      <alignment horizontal="right" vertical="center" indent="2"/>
    </xf>
    <xf numFmtId="4" fontId="1" fillId="9" borderId="47" xfId="0" applyNumberFormat="1" applyFont="1" applyFill="1" applyBorder="1" applyAlignment="1" applyProtection="1">
      <alignment horizontal="right" vertical="center" indent="2"/>
    </xf>
    <xf numFmtId="4" fontId="6" fillId="9" borderId="0" xfId="0" applyNumberFormat="1" applyFont="1" applyFill="1" applyBorder="1" applyAlignment="1" applyProtection="1">
      <alignment horizontal="right" vertical="center" indent="2"/>
    </xf>
    <xf numFmtId="4" fontId="6" fillId="8" borderId="51" xfId="0" applyNumberFormat="1" applyFont="1" applyFill="1" applyBorder="1" applyAlignment="1" applyProtection="1">
      <alignment horizontal="right" vertical="center" indent="2"/>
    </xf>
    <xf numFmtId="4" fontId="29" fillId="7" borderId="5" xfId="0" applyNumberFormat="1" applyFont="1" applyFill="1" applyBorder="1" applyAlignment="1" applyProtection="1">
      <alignment horizontal="right" vertical="center" indent="2"/>
    </xf>
    <xf numFmtId="4" fontId="44" fillId="11" borderId="3" xfId="0" applyNumberFormat="1" applyFont="1" applyFill="1" applyBorder="1" applyAlignment="1" applyProtection="1">
      <alignment horizontal="right" vertical="center" indent="2"/>
    </xf>
    <xf numFmtId="10" fontId="6" fillId="9" borderId="1" xfId="0" applyNumberFormat="1" applyFont="1" applyFill="1" applyBorder="1" applyAlignment="1" applyProtection="1">
      <alignment horizontal="center" vertical="center"/>
    </xf>
    <xf numFmtId="4" fontId="6" fillId="9" borderId="51" xfId="0" applyNumberFormat="1" applyFont="1" applyFill="1" applyBorder="1" applyAlignment="1" applyProtection="1">
      <alignment horizontal="right" vertical="center" indent="2"/>
    </xf>
    <xf numFmtId="170" fontId="1" fillId="10" borderId="1" xfId="0" applyNumberFormat="1" applyFont="1" applyFill="1" applyBorder="1" applyAlignment="1" applyProtection="1">
      <alignment horizontal="right" vertical="center" indent="2"/>
    </xf>
    <xf numFmtId="170" fontId="1" fillId="10" borderId="5" xfId="2" applyNumberFormat="1" applyFont="1" applyFill="1" applyBorder="1" applyAlignment="1" applyProtection="1">
      <alignment horizontal="right" vertical="center" indent="2"/>
    </xf>
    <xf numFmtId="170" fontId="1" fillId="10" borderId="5" xfId="0" applyNumberFormat="1" applyFont="1" applyFill="1" applyBorder="1" applyAlignment="1" applyProtection="1">
      <alignment horizontal="right" vertical="center" indent="2"/>
    </xf>
    <xf numFmtId="3" fontId="1" fillId="10" borderId="1" xfId="0" applyNumberFormat="1" applyFont="1" applyFill="1" applyBorder="1" applyAlignment="1" applyProtection="1">
      <alignment horizontal="center" vertical="center"/>
    </xf>
    <xf numFmtId="10" fontId="1" fillId="10" borderId="1" xfId="0" applyNumberFormat="1" applyFont="1" applyFill="1" applyBorder="1" applyAlignment="1" applyProtection="1">
      <alignment horizontal="center" vertical="center"/>
    </xf>
    <xf numFmtId="4" fontId="42" fillId="7" borderId="5" xfId="0" applyNumberFormat="1" applyFont="1" applyFill="1" applyBorder="1" applyAlignment="1" applyProtection="1">
      <alignment horizontal="right" vertical="center" indent="2"/>
    </xf>
    <xf numFmtId="4" fontId="43" fillId="11" borderId="3" xfId="0" applyNumberFormat="1" applyFont="1" applyFill="1" applyBorder="1" applyAlignment="1" applyProtection="1">
      <alignment horizontal="right" vertical="center" indent="2"/>
    </xf>
    <xf numFmtId="0" fontId="1" fillId="12" borderId="1" xfId="0" applyFont="1" applyFill="1" applyBorder="1" applyAlignment="1" applyProtection="1">
      <alignment horizontal="left" vertical="center"/>
    </xf>
    <xf numFmtId="4" fontId="29" fillId="9" borderId="5" xfId="0" applyNumberFormat="1" applyFont="1" applyFill="1" applyBorder="1" applyAlignment="1" applyProtection="1">
      <alignment horizontal="center" vertical="center" wrapText="1"/>
    </xf>
    <xf numFmtId="4" fontId="44" fillId="9" borderId="3" xfId="0" applyNumberFormat="1" applyFont="1" applyFill="1" applyBorder="1" applyAlignment="1" applyProtection="1">
      <alignment horizontal="center" vertical="center" wrapText="1"/>
    </xf>
    <xf numFmtId="10" fontId="1" fillId="10" borderId="11" xfId="2" applyNumberFormat="1" applyFont="1" applyFill="1" applyBorder="1" applyAlignment="1" applyProtection="1">
      <alignment horizontal="center" vertical="center"/>
    </xf>
    <xf numFmtId="10" fontId="1" fillId="12" borderId="11" xfId="2" applyNumberFormat="1" applyFont="1" applyFill="1" applyBorder="1" applyAlignment="1" applyProtection="1">
      <alignment horizontal="center" vertical="center"/>
    </xf>
    <xf numFmtId="4" fontId="1" fillId="10" borderId="5" xfId="0" applyNumberFormat="1" applyFont="1" applyFill="1" applyBorder="1" applyAlignment="1" applyProtection="1">
      <alignment horizontal="right" vertical="center" indent="2"/>
    </xf>
    <xf numFmtId="10" fontId="0" fillId="10" borderId="3" xfId="0" applyNumberFormat="1" applyFill="1" applyBorder="1" applyAlignment="1">
      <alignment horizontal="center"/>
    </xf>
    <xf numFmtId="0" fontId="1" fillId="0" borderId="51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" fontId="6" fillId="9" borderId="3" xfId="0" applyNumberFormat="1" applyFont="1" applyFill="1" applyBorder="1" applyAlignment="1" applyProtection="1">
      <alignment horizontal="center" vertical="center" wrapText="1"/>
    </xf>
    <xf numFmtId="4" fontId="6" fillId="9" borderId="9" xfId="0" applyNumberFormat="1" applyFont="1" applyFill="1" applyBorder="1" applyAlignment="1" applyProtection="1">
      <alignment horizontal="center" vertical="center" wrapText="1"/>
    </xf>
    <xf numFmtId="2" fontId="23" fillId="9" borderId="3" xfId="0" applyNumberFormat="1" applyFont="1" applyFill="1" applyBorder="1" applyAlignment="1" applyProtection="1">
      <alignment horizontal="center" vertical="center" wrapText="1"/>
    </xf>
    <xf numFmtId="0" fontId="1" fillId="12" borderId="3" xfId="0" applyFont="1" applyFill="1" applyBorder="1" applyAlignment="1">
      <alignment vertical="center" wrapText="1"/>
    </xf>
    <xf numFmtId="170" fontId="23" fillId="7" borderId="3" xfId="0" applyNumberFormat="1" applyFont="1" applyFill="1" applyBorder="1" applyAlignment="1" applyProtection="1">
      <alignment horizontal="center" vertical="center" wrapText="1"/>
    </xf>
    <xf numFmtId="4" fontId="6" fillId="12" borderId="3" xfId="0" applyNumberFormat="1" applyFont="1" applyFill="1" applyBorder="1" applyAlignment="1" applyProtection="1">
      <alignment horizontal="center" vertical="center" wrapText="1"/>
    </xf>
    <xf numFmtId="170" fontId="23" fillId="12" borderId="3" xfId="0" applyNumberFormat="1" applyFont="1" applyFill="1" applyBorder="1" applyAlignment="1" applyProtection="1">
      <alignment horizontal="center" vertical="center" wrapText="1"/>
    </xf>
    <xf numFmtId="10" fontId="1" fillId="12" borderId="1" xfId="2" applyNumberFormat="1" applyFont="1" applyFill="1" applyBorder="1" applyAlignment="1" applyProtection="1">
      <alignment horizontal="center" vertical="center"/>
    </xf>
    <xf numFmtId="0" fontId="1" fillId="12" borderId="8" xfId="0" applyFont="1" applyFill="1" applyBorder="1" applyAlignment="1" applyProtection="1">
      <alignment horizontal="right" vertical="center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9" borderId="0" xfId="4" applyFont="1" applyFill="1" applyBorder="1" applyAlignment="1" applyProtection="1">
      <alignment horizontal="left" vertical="center" wrapText="1"/>
    </xf>
    <xf numFmtId="4" fontId="19" fillId="0" borderId="0" xfId="0" applyNumberFormat="1" applyFont="1" applyFill="1" applyAlignment="1" applyProtection="1">
      <alignment horizontal="right"/>
    </xf>
    <xf numFmtId="10" fontId="6" fillId="8" borderId="3" xfId="0" applyNumberFormat="1" applyFont="1" applyFill="1" applyBorder="1" applyAlignment="1" applyProtection="1">
      <alignment horizontal="center" vertical="center"/>
    </xf>
    <xf numFmtId="0" fontId="32" fillId="9" borderId="0" xfId="0" applyFont="1" applyFill="1" applyBorder="1" applyAlignment="1" applyProtection="1">
      <alignment horizontal="center"/>
    </xf>
    <xf numFmtId="4" fontId="1" fillId="9" borderId="0" xfId="0" applyNumberFormat="1" applyFont="1" applyFill="1" applyBorder="1" applyAlignment="1" applyProtection="1">
      <alignment horizontal="right" vertical="center" indent="1"/>
    </xf>
    <xf numFmtId="4" fontId="6" fillId="9" borderId="0" xfId="4" applyNumberFormat="1" applyFont="1" applyFill="1" applyBorder="1" applyAlignment="1" applyProtection="1">
      <alignment horizontal="right" vertical="center" wrapText="1" indent="1"/>
    </xf>
    <xf numFmtId="0" fontId="1" fillId="9" borderId="0" xfId="0" applyFont="1" applyFill="1" applyBorder="1" applyAlignment="1" applyProtection="1">
      <alignment horizontal="justify" wrapText="1"/>
    </xf>
    <xf numFmtId="0" fontId="1" fillId="9" borderId="0" xfId="0" applyFont="1" applyFill="1" applyBorder="1" applyAlignment="1" applyProtection="1">
      <alignment horizontal="justify" vertical="center"/>
    </xf>
    <xf numFmtId="10" fontId="45" fillId="0" borderId="0" xfId="0" applyNumberFormat="1" applyFont="1" applyBorder="1" applyAlignment="1">
      <alignment horizontal="center"/>
    </xf>
    <xf numFmtId="4" fontId="47" fillId="9" borderId="3" xfId="0" applyNumberFormat="1" applyFont="1" applyFill="1" applyBorder="1" applyAlignment="1" applyProtection="1">
      <alignment horizontal="right" vertical="center" indent="1"/>
    </xf>
    <xf numFmtId="4" fontId="46" fillId="9" borderId="3" xfId="0" applyNumberFormat="1" applyFont="1" applyFill="1" applyBorder="1" applyAlignment="1" applyProtection="1">
      <alignment horizontal="right" vertical="center" indent="1"/>
    </xf>
    <xf numFmtId="0" fontId="47" fillId="9" borderId="3" xfId="0" applyFont="1" applyFill="1" applyBorder="1" applyAlignment="1" applyProtection="1">
      <alignment vertical="center"/>
    </xf>
    <xf numFmtId="0" fontId="47" fillId="9" borderId="0" xfId="0" applyFont="1" applyFill="1" applyBorder="1" applyAlignment="1" applyProtection="1">
      <alignment vertical="center"/>
    </xf>
    <xf numFmtId="4" fontId="47" fillId="9" borderId="0" xfId="0" applyNumberFormat="1" applyFont="1" applyFill="1" applyBorder="1" applyAlignment="1" applyProtection="1">
      <alignment horizontal="right" vertical="center" indent="1"/>
    </xf>
    <xf numFmtId="10" fontId="47" fillId="9" borderId="0" xfId="0" applyNumberFormat="1" applyFont="1" applyFill="1" applyBorder="1" applyAlignment="1" applyProtection="1">
      <alignment horizontal="justify" vertical="center"/>
    </xf>
    <xf numFmtId="10" fontId="47" fillId="9" borderId="3" xfId="0" applyNumberFormat="1" applyFont="1" applyFill="1" applyBorder="1" applyAlignment="1">
      <alignment horizontal="center"/>
    </xf>
    <xf numFmtId="4" fontId="47" fillId="8" borderId="3" xfId="0" applyNumberFormat="1" applyFont="1" applyFill="1" applyBorder="1" applyAlignment="1" applyProtection="1">
      <alignment horizontal="right" vertical="center" indent="1"/>
    </xf>
    <xf numFmtId="170" fontId="46" fillId="7" borderId="3" xfId="0" applyNumberFormat="1" applyFont="1" applyFill="1" applyBorder="1" applyAlignment="1" applyProtection="1">
      <alignment horizontal="right" vertical="center" indent="1"/>
    </xf>
    <xf numFmtId="169" fontId="1" fillId="9" borderId="0" xfId="4" applyNumberFormat="1" applyFont="1" applyFill="1" applyBorder="1" applyAlignment="1" applyProtection="1">
      <alignment horizontal="center" vertical="center" wrapText="1"/>
    </xf>
    <xf numFmtId="3" fontId="1" fillId="9" borderId="0" xfId="0" applyNumberFormat="1" applyFont="1" applyFill="1" applyBorder="1" applyAlignment="1" applyProtection="1">
      <alignment horizontal="center" vertical="center"/>
    </xf>
    <xf numFmtId="4" fontId="6" fillId="9" borderId="3" xfId="4" applyNumberFormat="1" applyFont="1" applyFill="1" applyBorder="1" applyAlignment="1" applyProtection="1">
      <alignment horizontal="right" vertical="center" wrapText="1" indent="2"/>
    </xf>
    <xf numFmtId="4" fontId="6" fillId="8" borderId="3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horizontal="right" vertical="center" indent="2"/>
    </xf>
    <xf numFmtId="4" fontId="6" fillId="9" borderId="3" xfId="0" applyNumberFormat="1" applyFont="1" applyFill="1" applyBorder="1" applyAlignment="1" applyProtection="1">
      <alignment horizontal="right" vertical="center" indent="2"/>
    </xf>
    <xf numFmtId="0" fontId="6" fillId="9" borderId="52" xfId="4" applyFont="1" applyFill="1" applyBorder="1" applyAlignment="1" applyProtection="1">
      <alignment horizontal="right" vertical="center" wrapText="1"/>
    </xf>
    <xf numFmtId="4" fontId="48" fillId="9" borderId="3" xfId="0" applyNumberFormat="1" applyFont="1" applyFill="1" applyBorder="1" applyAlignment="1" applyProtection="1">
      <alignment horizontal="center" vertical="center" wrapText="1"/>
    </xf>
    <xf numFmtId="0" fontId="0" fillId="9" borderId="0" xfId="0" applyFill="1"/>
    <xf numFmtId="0" fontId="47" fillId="9" borderId="2" xfId="0" applyFont="1" applyFill="1" applyBorder="1" applyAlignment="1" applyProtection="1">
      <alignment vertical="center"/>
    </xf>
    <xf numFmtId="0" fontId="46" fillId="8" borderId="3" xfId="4" applyFont="1" applyFill="1" applyBorder="1" applyAlignment="1" applyProtection="1">
      <alignment horizontal="center" wrapText="1"/>
    </xf>
    <xf numFmtId="4" fontId="47" fillId="9" borderId="32" xfId="0" applyNumberFormat="1" applyFont="1" applyFill="1" applyBorder="1" applyAlignment="1" applyProtection="1">
      <alignment horizontal="right" vertical="center" indent="1"/>
    </xf>
    <xf numFmtId="4" fontId="47" fillId="9" borderId="1" xfId="0" applyNumberFormat="1" applyFont="1" applyFill="1" applyBorder="1" applyAlignment="1" applyProtection="1">
      <alignment horizontal="right" vertical="center" indent="1"/>
    </xf>
    <xf numFmtId="0" fontId="30" fillId="9" borderId="48" xfId="5" applyFill="1" applyBorder="1" applyAlignment="1" applyProtection="1"/>
    <xf numFmtId="0" fontId="30" fillId="9" borderId="0" xfId="5" applyFill="1" applyBorder="1" applyAlignment="1" applyProtection="1"/>
    <xf numFmtId="170" fontId="0" fillId="0" borderId="0" xfId="0" applyNumberFormat="1"/>
    <xf numFmtId="0" fontId="1" fillId="9" borderId="3" xfId="0" applyFont="1" applyFill="1" applyBorder="1" applyAlignment="1" applyProtection="1">
      <alignment horizontal="justify" vertical="center" wrapText="1"/>
    </xf>
    <xf numFmtId="4" fontId="23" fillId="9" borderId="52" xfId="0" applyNumberFormat="1" applyFont="1" applyFill="1" applyBorder="1" applyAlignment="1" applyProtection="1">
      <alignment horizontal="right" vertical="center"/>
    </xf>
    <xf numFmtId="0" fontId="47" fillId="9" borderId="3" xfId="0" applyFont="1" applyFill="1" applyBorder="1" applyAlignment="1" applyProtection="1">
      <alignment vertical="center"/>
    </xf>
    <xf numFmtId="49" fontId="1" fillId="13" borderId="3" xfId="0" applyNumberFormat="1" applyFont="1" applyFill="1" applyBorder="1" applyAlignment="1" applyProtection="1">
      <alignment horizontal="right" vertical="center" indent="2"/>
    </xf>
    <xf numFmtId="4" fontId="1" fillId="13" borderId="3" xfId="0" applyNumberFormat="1" applyFont="1" applyFill="1" applyBorder="1" applyAlignment="1" applyProtection="1">
      <alignment horizontal="right" vertical="center" indent="2"/>
    </xf>
    <xf numFmtId="4" fontId="1" fillId="14" borderId="5" xfId="0" applyNumberFormat="1" applyFont="1" applyFill="1" applyBorder="1" applyAlignment="1" applyProtection="1">
      <alignment horizontal="right" vertical="center" indent="2"/>
    </xf>
    <xf numFmtId="4" fontId="1" fillId="15" borderId="3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vertical="center"/>
    </xf>
    <xf numFmtId="4" fontId="1" fillId="9" borderId="3" xfId="0" applyNumberFormat="1" applyFont="1" applyFill="1" applyBorder="1" applyAlignment="1" applyProtection="1">
      <alignment horizontal="left" vertical="center" wrapText="1"/>
    </xf>
    <xf numFmtId="4" fontId="22" fillId="7" borderId="5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horizontal="left" vertical="center"/>
    </xf>
    <xf numFmtId="14" fontId="1" fillId="10" borderId="3" xfId="4" applyNumberFormat="1" applyFont="1" applyFill="1" applyBorder="1" applyAlignment="1" applyProtection="1">
      <alignment horizontal="center" vertical="center" wrapText="1"/>
    </xf>
    <xf numFmtId="49" fontId="1" fillId="10" borderId="3" xfId="4" applyNumberFormat="1" applyFont="1" applyFill="1" applyBorder="1" applyAlignment="1" applyProtection="1">
      <alignment horizontal="center" vertical="center" wrapText="1"/>
    </xf>
    <xf numFmtId="4" fontId="47" fillId="9" borderId="2" xfId="0" applyNumberFormat="1" applyFont="1" applyFill="1" applyBorder="1" applyAlignment="1" applyProtection="1">
      <alignment horizontal="right" vertical="center" indent="1"/>
    </xf>
    <xf numFmtId="171" fontId="1" fillId="7" borderId="5" xfId="0" applyNumberFormat="1" applyFont="1" applyFill="1" applyBorder="1" applyAlignment="1" applyProtection="1">
      <alignment horizontal="right" vertical="center" indent="2"/>
    </xf>
    <xf numFmtId="172" fontId="1" fillId="11" borderId="3" xfId="0" applyNumberFormat="1" applyFont="1" applyFill="1" applyBorder="1" applyAlignment="1" applyProtection="1">
      <alignment horizontal="right" vertical="center" indent="2"/>
    </xf>
    <xf numFmtId="172" fontId="1" fillId="7" borderId="5" xfId="0" applyNumberFormat="1" applyFont="1" applyFill="1" applyBorder="1" applyAlignment="1" applyProtection="1">
      <alignment horizontal="right" vertical="center" indent="2"/>
    </xf>
    <xf numFmtId="173" fontId="1" fillId="7" borderId="5" xfId="0" applyNumberFormat="1" applyFont="1" applyFill="1" applyBorder="1" applyAlignment="1" applyProtection="1">
      <alignment horizontal="right" vertical="center" indent="2"/>
    </xf>
    <xf numFmtId="173" fontId="1" fillId="11" borderId="3" xfId="0" applyNumberFormat="1" applyFont="1" applyFill="1" applyBorder="1" applyAlignment="1" applyProtection="1">
      <alignment horizontal="right" vertical="center" indent="2"/>
    </xf>
    <xf numFmtId="174" fontId="1" fillId="11" borderId="3" xfId="0" applyNumberFormat="1" applyFont="1" applyFill="1" applyBorder="1" applyAlignment="1" applyProtection="1">
      <alignment horizontal="right" vertical="center" indent="2"/>
    </xf>
    <xf numFmtId="0" fontId="6" fillId="10" borderId="38" xfId="4" applyFont="1" applyFill="1" applyBorder="1" applyAlignment="1" applyProtection="1">
      <alignment horizontal="center" wrapText="1"/>
    </xf>
    <xf numFmtId="0" fontId="6" fillId="10" borderId="47" xfId="4" applyFont="1" applyFill="1" applyBorder="1" applyAlignment="1" applyProtection="1">
      <alignment horizontal="center" wrapText="1"/>
    </xf>
    <xf numFmtId="0" fontId="6" fillId="10" borderId="49" xfId="4" applyFont="1" applyFill="1" applyBorder="1" applyAlignment="1" applyProtection="1">
      <alignment horizontal="center" wrapText="1"/>
    </xf>
    <xf numFmtId="0" fontId="6" fillId="10" borderId="32" xfId="4" applyFont="1" applyFill="1" applyBorder="1" applyAlignment="1" applyProtection="1">
      <alignment horizontal="center" wrapText="1"/>
    </xf>
    <xf numFmtId="0" fontId="6" fillId="10" borderId="33" xfId="4" applyFont="1" applyFill="1" applyBorder="1" applyAlignment="1" applyProtection="1">
      <alignment horizontal="center" wrapText="1"/>
    </xf>
    <xf numFmtId="0" fontId="6" fillId="10" borderId="9" xfId="4" applyFont="1" applyFill="1" applyBorder="1" applyAlignment="1" applyProtection="1">
      <alignment horizontal="center" wrapText="1"/>
    </xf>
    <xf numFmtId="0" fontId="6" fillId="9" borderId="62" xfId="4" applyFont="1" applyFill="1" applyBorder="1" applyAlignment="1" applyProtection="1">
      <alignment horizontal="center" vertical="center" wrapText="1"/>
    </xf>
    <xf numFmtId="0" fontId="6" fillId="9" borderId="63" xfId="4" applyFont="1" applyFill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vertical="center"/>
    </xf>
    <xf numFmtId="0" fontId="22" fillId="9" borderId="8" xfId="0" applyFont="1" applyFill="1" applyBorder="1" applyAlignment="1" applyProtection="1">
      <alignment vertical="center"/>
    </xf>
    <xf numFmtId="0" fontId="22" fillId="9" borderId="1" xfId="0" applyFont="1" applyFill="1" applyBorder="1" applyProtection="1"/>
    <xf numFmtId="0" fontId="22" fillId="9" borderId="8" xfId="0" applyFont="1" applyFill="1" applyBorder="1" applyProtection="1"/>
    <xf numFmtId="0" fontId="28" fillId="9" borderId="33" xfId="0" applyFont="1" applyFill="1" applyBorder="1" applyAlignment="1" applyProtection="1">
      <alignment horizontal="left" vertical="top" wrapText="1"/>
    </xf>
    <xf numFmtId="0" fontId="1" fillId="0" borderId="73" xfId="0" applyFont="1" applyBorder="1" applyAlignment="1">
      <alignment vertical="center" wrapText="1"/>
    </xf>
    <xf numFmtId="0" fontId="1" fillId="0" borderId="74" xfId="0" applyFont="1" applyBorder="1" applyAlignment="1">
      <alignment vertical="center" wrapText="1"/>
    </xf>
    <xf numFmtId="0" fontId="22" fillId="0" borderId="3" xfId="0" applyFont="1" applyFill="1" applyBorder="1" applyAlignment="1" applyProtection="1">
      <alignment horizontal="left"/>
    </xf>
    <xf numFmtId="0" fontId="22" fillId="0" borderId="1" xfId="0" applyFont="1" applyFill="1" applyBorder="1" applyAlignment="1" applyProtection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1" xfId="0" applyFont="1" applyBorder="1"/>
    <xf numFmtId="0" fontId="1" fillId="0" borderId="11" xfId="0" applyFont="1" applyBorder="1"/>
    <xf numFmtId="0" fontId="1" fillId="0" borderId="28" xfId="0" applyFont="1" applyBorder="1"/>
    <xf numFmtId="0" fontId="1" fillId="12" borderId="1" xfId="0" applyFont="1" applyFill="1" applyBorder="1" applyAlignment="1" applyProtection="1">
      <alignment horizontal="left" vertical="center"/>
    </xf>
    <xf numFmtId="0" fontId="1" fillId="12" borderId="8" xfId="0" applyFont="1" applyFill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/>
    <xf numFmtId="0" fontId="1" fillId="9" borderId="1" xfId="0" applyFont="1" applyFill="1" applyBorder="1" applyAlignment="1" applyProtection="1">
      <alignment horizontal="left" vertical="center"/>
    </xf>
    <xf numFmtId="0" fontId="1" fillId="9" borderId="8" xfId="0" applyFont="1" applyFill="1" applyBorder="1" applyAlignment="1" applyProtection="1">
      <alignment horizontal="left" vertical="center"/>
    </xf>
    <xf numFmtId="10" fontId="6" fillId="9" borderId="1" xfId="0" applyNumberFormat="1" applyFont="1" applyFill="1" applyBorder="1" applyAlignment="1" applyProtection="1">
      <alignment vertical="center"/>
    </xf>
    <xf numFmtId="10" fontId="6" fillId="9" borderId="11" xfId="0" applyNumberFormat="1" applyFont="1" applyFill="1" applyBorder="1" applyAlignment="1" applyProtection="1">
      <alignment vertical="center"/>
    </xf>
    <xf numFmtId="10" fontId="6" fillId="9" borderId="8" xfId="0" applyNumberFormat="1" applyFont="1" applyFill="1" applyBorder="1" applyAlignment="1" applyProtection="1">
      <alignment vertical="center"/>
    </xf>
    <xf numFmtId="0" fontId="6" fillId="8" borderId="1" xfId="0" applyFont="1" applyFill="1" applyBorder="1" applyAlignment="1" applyProtection="1">
      <alignment horizontal="left" vertical="center"/>
    </xf>
    <xf numFmtId="0" fontId="6" fillId="8" borderId="11" xfId="0" applyFont="1" applyFill="1" applyBorder="1" applyAlignment="1" applyProtection="1">
      <alignment horizontal="left" vertical="center"/>
    </xf>
    <xf numFmtId="0" fontId="6" fillId="9" borderId="1" xfId="0" applyFont="1" applyFill="1" applyBorder="1" applyAlignment="1" applyProtection="1">
      <alignment vertical="center"/>
    </xf>
    <xf numFmtId="0" fontId="6" fillId="9" borderId="11" xfId="0" applyFont="1" applyFill="1" applyBorder="1" applyAlignment="1" applyProtection="1">
      <alignment vertical="center"/>
    </xf>
    <xf numFmtId="0" fontId="6" fillId="9" borderId="8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" fillId="10" borderId="1" xfId="0" applyFont="1" applyFill="1" applyBorder="1"/>
    <xf numFmtId="0" fontId="1" fillId="10" borderId="11" xfId="0" applyFont="1" applyFill="1" applyBorder="1"/>
    <xf numFmtId="0" fontId="1" fillId="10" borderId="28" xfId="0" applyFont="1" applyFill="1" applyBorder="1"/>
    <xf numFmtId="0" fontId="22" fillId="9" borderId="7" xfId="0" applyFont="1" applyFill="1" applyBorder="1" applyAlignment="1" applyProtection="1">
      <alignment vertical="center"/>
    </xf>
    <xf numFmtId="0" fontId="22" fillId="9" borderId="46" xfId="0" applyFont="1" applyFill="1" applyBorder="1" applyAlignment="1" applyProtection="1">
      <alignment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vertical="center"/>
    </xf>
    <xf numFmtId="0" fontId="6" fillId="8" borderId="11" xfId="0" applyFont="1" applyFill="1" applyBorder="1" applyAlignment="1" applyProtection="1">
      <alignment vertical="center"/>
    </xf>
    <xf numFmtId="0" fontId="6" fillId="8" borderId="8" xfId="0" applyFont="1" applyFill="1" applyBorder="1" applyAlignment="1" applyProtection="1">
      <alignment vertical="center"/>
    </xf>
    <xf numFmtId="0" fontId="22" fillId="9" borderId="3" xfId="0" applyFont="1" applyFill="1" applyBorder="1" applyProtection="1"/>
    <xf numFmtId="0" fontId="1" fillId="10" borderId="1" xfId="0" applyFont="1" applyFill="1" applyBorder="1" applyAlignment="1" applyProtection="1">
      <alignment horizontal="left" vertical="center"/>
    </xf>
    <xf numFmtId="0" fontId="1" fillId="10" borderId="8" xfId="0" applyFont="1" applyFill="1" applyBorder="1" applyAlignment="1" applyProtection="1">
      <alignment horizontal="left" vertical="center"/>
    </xf>
    <xf numFmtId="0" fontId="22" fillId="0" borderId="8" xfId="0" applyFont="1" applyFill="1" applyBorder="1" applyAlignment="1" applyProtection="1">
      <alignment horizontal="left"/>
    </xf>
    <xf numFmtId="0" fontId="23" fillId="0" borderId="3" xfId="0" applyFont="1" applyFill="1" applyBorder="1" applyAlignment="1" applyProtection="1">
      <alignment horizontal="left"/>
    </xf>
    <xf numFmtId="0" fontId="23" fillId="0" borderId="1" xfId="0" applyFont="1" applyFill="1" applyBorder="1" applyAlignment="1" applyProtection="1">
      <alignment horizontal="left"/>
    </xf>
    <xf numFmtId="0" fontId="23" fillId="0" borderId="3" xfId="0" applyFont="1" applyFill="1" applyBorder="1" applyAlignment="1" applyProtection="1">
      <alignment horizontal="left" vertical="center"/>
    </xf>
    <xf numFmtId="0" fontId="23" fillId="0" borderId="1" xfId="0" applyFont="1" applyFill="1" applyBorder="1" applyAlignment="1" applyProtection="1">
      <alignment horizontal="left" vertical="center"/>
    </xf>
    <xf numFmtId="0" fontId="22" fillId="9" borderId="7" xfId="0" applyFont="1" applyFill="1" applyBorder="1" applyProtection="1"/>
    <xf numFmtId="0" fontId="22" fillId="0" borderId="1" xfId="0" applyFont="1" applyFill="1" applyBorder="1" applyAlignment="1" applyProtection="1">
      <alignment horizontal="left" vertical="center"/>
    </xf>
    <xf numFmtId="0" fontId="22" fillId="0" borderId="8" xfId="0" applyFont="1" applyFill="1" applyBorder="1" applyAlignment="1" applyProtection="1">
      <alignment horizontal="left" vertical="center"/>
    </xf>
    <xf numFmtId="0" fontId="22" fillId="10" borderId="3" xfId="0" applyFont="1" applyFill="1" applyBorder="1" applyAlignment="1" applyProtection="1">
      <alignment horizontal="left"/>
    </xf>
    <xf numFmtId="0" fontId="22" fillId="10" borderId="1" xfId="0" applyFont="1" applyFill="1" applyBorder="1" applyAlignment="1" applyProtection="1">
      <alignment horizontal="left"/>
    </xf>
    <xf numFmtId="0" fontId="7" fillId="9" borderId="47" xfId="4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1" fontId="23" fillId="9" borderId="3" xfId="0" applyNumberFormat="1" applyFont="1" applyFill="1" applyBorder="1" applyAlignment="1" applyProtection="1">
      <alignment horizontal="center" vertical="center" wrapText="1"/>
    </xf>
    <xf numFmtId="4" fontId="1" fillId="9" borderId="67" xfId="0" applyNumberFormat="1" applyFont="1" applyFill="1" applyBorder="1" applyAlignment="1" applyProtection="1">
      <alignment horizontal="right" vertical="center" indent="2"/>
    </xf>
    <xf numFmtId="4" fontId="1" fillId="9" borderId="50" xfId="0" applyNumberFormat="1" applyFont="1" applyFill="1" applyBorder="1" applyAlignment="1" applyProtection="1">
      <alignment horizontal="right" vertical="center" indent="2"/>
    </xf>
    <xf numFmtId="4" fontId="1" fillId="7" borderId="6" xfId="0" applyNumberFormat="1" applyFont="1" applyFill="1" applyBorder="1" applyAlignment="1" applyProtection="1">
      <alignment horizontal="right" vertical="center" indent="2"/>
    </xf>
    <xf numFmtId="4" fontId="1" fillId="7" borderId="21" xfId="0" applyNumberFormat="1" applyFont="1" applyFill="1" applyBorder="1" applyAlignment="1" applyProtection="1">
      <alignment horizontal="right" vertical="center" indent="2"/>
    </xf>
    <xf numFmtId="4" fontId="1" fillId="15" borderId="7" xfId="0" applyNumberFormat="1" applyFont="1" applyFill="1" applyBorder="1" applyAlignment="1" applyProtection="1">
      <alignment horizontal="right" vertical="center" indent="2"/>
    </xf>
    <xf numFmtId="4" fontId="1" fillId="15" borderId="2" xfId="0" applyNumberFormat="1" applyFont="1" applyFill="1" applyBorder="1" applyAlignment="1" applyProtection="1">
      <alignment horizontal="right" vertical="center" indent="2"/>
    </xf>
    <xf numFmtId="4" fontId="23" fillId="10" borderId="1" xfId="0" applyNumberFormat="1" applyFont="1" applyFill="1" applyBorder="1" applyAlignment="1" applyProtection="1">
      <alignment horizontal="center" vertical="center"/>
    </xf>
    <xf numFmtId="4" fontId="23" fillId="10" borderId="11" xfId="0" applyNumberFormat="1" applyFont="1" applyFill="1" applyBorder="1" applyAlignment="1" applyProtection="1">
      <alignment horizontal="center" vertical="center"/>
    </xf>
    <xf numFmtId="4" fontId="23" fillId="10" borderId="8" xfId="0" applyNumberFormat="1" applyFont="1" applyFill="1" applyBorder="1" applyAlignment="1" applyProtection="1">
      <alignment horizontal="center" vertical="center"/>
    </xf>
    <xf numFmtId="0" fontId="1" fillId="0" borderId="68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1" fillId="0" borderId="61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1" xfId="0" applyFont="1" applyBorder="1" applyAlignment="1">
      <alignment vertical="center" wrapText="1"/>
    </xf>
    <xf numFmtId="0" fontId="6" fillId="0" borderId="72" xfId="0" applyFont="1" applyBorder="1" applyAlignment="1">
      <alignment vertical="center" wrapText="1"/>
    </xf>
    <xf numFmtId="0" fontId="6" fillId="9" borderId="7" xfId="4" applyFont="1" applyFill="1" applyBorder="1" applyAlignment="1" applyProtection="1">
      <alignment horizontal="center" vertical="center" wrapText="1"/>
    </xf>
    <xf numFmtId="0" fontId="6" fillId="9" borderId="2" xfId="4" applyFont="1" applyFill="1" applyBorder="1" applyAlignment="1" applyProtection="1">
      <alignment horizontal="center" vertical="center" wrapText="1"/>
    </xf>
    <xf numFmtId="0" fontId="37" fillId="9" borderId="0" xfId="4" applyFont="1" applyFill="1" applyBorder="1" applyAlignment="1" applyProtection="1">
      <alignment horizontal="center"/>
    </xf>
    <xf numFmtId="0" fontId="1" fillId="9" borderId="0" xfId="4" applyFont="1" applyFill="1" applyBorder="1" applyAlignment="1" applyProtection="1">
      <alignment horizontal="center" wrapText="1"/>
    </xf>
    <xf numFmtId="0" fontId="1" fillId="9" borderId="0" xfId="4" applyFont="1" applyFill="1" applyBorder="1" applyAlignment="1" applyProtection="1">
      <alignment horizontal="center"/>
    </xf>
    <xf numFmtId="4" fontId="1" fillId="9" borderId="6" xfId="0" applyNumberFormat="1" applyFont="1" applyFill="1" applyBorder="1" applyAlignment="1" applyProtection="1">
      <alignment horizontal="left" vertical="center" wrapText="1"/>
    </xf>
    <xf numFmtId="4" fontId="1" fillId="9" borderId="21" xfId="0" applyNumberFormat="1" applyFont="1" applyFill="1" applyBorder="1" applyAlignment="1" applyProtection="1">
      <alignment horizontal="left" vertical="center" wrapText="1"/>
    </xf>
    <xf numFmtId="4" fontId="1" fillId="9" borderId="4" xfId="0" applyNumberFormat="1" applyFont="1" applyFill="1" applyBorder="1" applyAlignment="1" applyProtection="1">
      <alignment horizontal="center" vertical="center"/>
    </xf>
    <xf numFmtId="4" fontId="1" fillId="9" borderId="11" xfId="0" applyNumberFormat="1" applyFont="1" applyFill="1" applyBorder="1" applyAlignment="1" applyProtection="1">
      <alignment horizontal="center" vertical="center"/>
    </xf>
    <xf numFmtId="4" fontId="1" fillId="9" borderId="28" xfId="0" applyNumberFormat="1" applyFont="1" applyFill="1" applyBorder="1" applyAlignment="1" applyProtection="1">
      <alignment horizontal="center" vertical="center"/>
    </xf>
    <xf numFmtId="3" fontId="1" fillId="9" borderId="64" xfId="0" applyNumberFormat="1" applyFont="1" applyFill="1" applyBorder="1" applyAlignment="1" applyProtection="1">
      <alignment horizontal="center" vertical="center"/>
    </xf>
    <xf numFmtId="3" fontId="1" fillId="9" borderId="65" xfId="0" applyNumberFormat="1" applyFont="1" applyFill="1" applyBorder="1" applyAlignment="1" applyProtection="1">
      <alignment horizontal="center" vertical="center"/>
    </xf>
    <xf numFmtId="3" fontId="1" fillId="9" borderId="66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left" vertical="center"/>
    </xf>
    <xf numFmtId="0" fontId="1" fillId="12" borderId="11" xfId="0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2" fillId="0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left" vertical="center" wrapText="1"/>
    </xf>
    <xf numFmtId="3" fontId="1" fillId="9" borderId="3" xfId="0" applyNumberFormat="1" applyFont="1" applyFill="1" applyBorder="1" applyAlignment="1" applyProtection="1">
      <alignment horizontal="center" vertical="center"/>
    </xf>
    <xf numFmtId="0" fontId="47" fillId="9" borderId="3" xfId="0" applyFont="1" applyFill="1" applyBorder="1" applyAlignment="1" applyProtection="1">
      <alignment vertical="center"/>
    </xf>
    <xf numFmtId="0" fontId="46" fillId="9" borderId="3" xfId="0" applyFont="1" applyFill="1" applyBorder="1" applyAlignment="1" applyProtection="1">
      <alignment horizontal="left" vertical="center"/>
    </xf>
    <xf numFmtId="0" fontId="46" fillId="9" borderId="1" xfId="0" applyFont="1" applyFill="1" applyBorder="1" applyAlignment="1" applyProtection="1">
      <alignment vertical="center"/>
    </xf>
    <xf numFmtId="0" fontId="46" fillId="9" borderId="8" xfId="0" applyFont="1" applyFill="1" applyBorder="1" applyAlignment="1" applyProtection="1">
      <alignment vertical="center"/>
    </xf>
    <xf numFmtId="0" fontId="47" fillId="9" borderId="3" xfId="4" applyFont="1" applyFill="1" applyBorder="1" applyAlignment="1" applyProtection="1">
      <alignment horizontal="left" vertical="center" wrapText="1"/>
    </xf>
    <xf numFmtId="0" fontId="47" fillId="8" borderId="3" xfId="0" applyFont="1" applyFill="1" applyBorder="1" applyAlignment="1" applyProtection="1">
      <alignment horizontal="left" vertical="center"/>
    </xf>
    <xf numFmtId="0" fontId="46" fillId="9" borderId="0" xfId="0" applyFont="1" applyFill="1" applyBorder="1" applyAlignment="1" applyProtection="1">
      <alignment horizontal="left" vertical="center"/>
    </xf>
    <xf numFmtId="0" fontId="47" fillId="9" borderId="3" xfId="0" applyFont="1" applyFill="1" applyBorder="1" applyAlignment="1" applyProtection="1">
      <alignment horizontal="left" vertical="center"/>
    </xf>
    <xf numFmtId="0" fontId="47" fillId="8" borderId="3" xfId="0" applyFont="1" applyFill="1" applyBorder="1" applyAlignment="1" applyProtection="1">
      <alignment vertical="center"/>
    </xf>
    <xf numFmtId="0" fontId="49" fillId="9" borderId="0" xfId="4" applyFont="1" applyFill="1" applyBorder="1" applyAlignment="1" applyProtection="1">
      <alignment horizontal="center" wrapText="1"/>
    </xf>
    <xf numFmtId="0" fontId="30" fillId="9" borderId="48" xfId="5" applyFill="1" applyBorder="1" applyAlignment="1" applyProtection="1">
      <alignment horizontal="left"/>
    </xf>
    <xf numFmtId="0" fontId="30" fillId="9" borderId="0" xfId="5" applyFill="1" applyBorder="1" applyAlignment="1" applyProtection="1">
      <alignment horizontal="left"/>
    </xf>
    <xf numFmtId="0" fontId="6" fillId="9" borderId="47" xfId="0" applyFont="1" applyFill="1" applyBorder="1" applyAlignment="1" applyProtection="1">
      <alignment horizontal="center" vertical="center"/>
    </xf>
    <xf numFmtId="0" fontId="47" fillId="9" borderId="1" xfId="0" applyFont="1" applyFill="1" applyBorder="1" applyAlignment="1" applyProtection="1">
      <alignment horizontal="left"/>
    </xf>
    <xf numFmtId="0" fontId="47" fillId="9" borderId="8" xfId="0" applyFont="1" applyFill="1" applyBorder="1" applyAlignment="1" applyProtection="1">
      <alignment horizontal="left"/>
    </xf>
    <xf numFmtId="0" fontId="31" fillId="9" borderId="0" xfId="5" applyFont="1" applyFill="1" applyBorder="1" applyAlignment="1" applyProtection="1">
      <alignment horizontal="left"/>
    </xf>
    <xf numFmtId="1" fontId="47" fillId="10" borderId="7" xfId="0" applyNumberFormat="1" applyFont="1" applyFill="1" applyBorder="1" applyAlignment="1" applyProtection="1">
      <alignment horizontal="center" vertical="center"/>
    </xf>
    <xf numFmtId="1" fontId="47" fillId="10" borderId="2" xfId="0" applyNumberFormat="1" applyFont="1" applyFill="1" applyBorder="1" applyAlignment="1" applyProtection="1">
      <alignment horizontal="center" vertical="center"/>
    </xf>
    <xf numFmtId="1" fontId="47" fillId="10" borderId="46" xfId="0" applyNumberFormat="1" applyFont="1" applyFill="1" applyBorder="1" applyAlignment="1" applyProtection="1">
      <alignment horizontal="center" vertical="center"/>
    </xf>
    <xf numFmtId="0" fontId="27" fillId="9" borderId="0" xfId="0" applyFont="1" applyFill="1" applyBorder="1" applyAlignment="1" applyProtection="1">
      <alignment horizontal="center"/>
    </xf>
    <xf numFmtId="0" fontId="1" fillId="9" borderId="0" xfId="0" applyFont="1" applyFill="1" applyBorder="1" applyAlignment="1" applyProtection="1">
      <alignment horizontal="center"/>
    </xf>
    <xf numFmtId="0" fontId="6" fillId="9" borderId="0" xfId="0" applyFont="1" applyFill="1" applyBorder="1" applyAlignment="1" applyProtection="1">
      <alignment horizontal="center"/>
    </xf>
    <xf numFmtId="0" fontId="6" fillId="10" borderId="38" xfId="0" applyFont="1" applyFill="1" applyBorder="1" applyAlignment="1" applyProtection="1">
      <alignment horizontal="center" vertical="center"/>
    </xf>
    <xf numFmtId="0" fontId="6" fillId="10" borderId="47" xfId="0" applyFont="1" applyFill="1" applyBorder="1" applyAlignment="1" applyProtection="1">
      <alignment horizontal="center" vertical="center"/>
    </xf>
    <xf numFmtId="0" fontId="6" fillId="10" borderId="49" xfId="0" applyFont="1" applyFill="1" applyBorder="1" applyAlignment="1" applyProtection="1">
      <alignment horizontal="center" vertical="center"/>
    </xf>
    <xf numFmtId="0" fontId="6" fillId="10" borderId="32" xfId="0" applyFont="1" applyFill="1" applyBorder="1" applyAlignment="1" applyProtection="1">
      <alignment horizontal="center" vertical="center"/>
    </xf>
    <xf numFmtId="0" fontId="6" fillId="10" borderId="33" xfId="0" applyFont="1" applyFill="1" applyBorder="1" applyAlignment="1" applyProtection="1">
      <alignment horizontal="center" vertical="center"/>
    </xf>
    <xf numFmtId="0" fontId="6" fillId="10" borderId="9" xfId="0" applyFont="1" applyFill="1" applyBorder="1" applyAlignment="1" applyProtection="1">
      <alignment horizontal="center" vertical="center"/>
    </xf>
    <xf numFmtId="14" fontId="6" fillId="2" borderId="1" xfId="0" applyNumberFormat="1" applyFont="1" applyFill="1" applyBorder="1" applyAlignment="1" applyProtection="1">
      <alignment horizontal="center"/>
      <protection locked="0"/>
    </xf>
    <xf numFmtId="14" fontId="6" fillId="2" borderId="11" xfId="0" applyNumberFormat="1" applyFont="1" applyFill="1" applyBorder="1" applyAlignment="1" applyProtection="1">
      <alignment horizontal="center"/>
      <protection locked="0"/>
    </xf>
    <xf numFmtId="14" fontId="6" fillId="2" borderId="8" xfId="0" applyNumberFormat="1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/>
      <protection locked="0"/>
    </xf>
    <xf numFmtId="0" fontId="11" fillId="0" borderId="3" xfId="0" applyFont="1" applyBorder="1" applyAlignment="1" applyProtection="1">
      <protection locked="0"/>
    </xf>
    <xf numFmtId="0" fontId="16" fillId="0" borderId="45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44" xfId="0" applyFont="1" applyBorder="1" applyAlignment="1" applyProtection="1">
      <alignment horizontal="center"/>
      <protection locked="0"/>
    </xf>
    <xf numFmtId="10" fontId="6" fillId="2" borderId="1" xfId="0" applyNumberFormat="1" applyFont="1" applyFill="1" applyBorder="1" applyAlignment="1" applyProtection="1">
      <alignment horizontal="center"/>
      <protection locked="0"/>
    </xf>
    <xf numFmtId="10" fontId="6" fillId="2" borderId="11" xfId="0" applyNumberFormat="1" applyFont="1" applyFill="1" applyBorder="1" applyAlignment="1" applyProtection="1">
      <alignment horizontal="center"/>
      <protection locked="0"/>
    </xf>
    <xf numFmtId="10" fontId="6" fillId="2" borderId="8" xfId="0" applyNumberFormat="1" applyFont="1" applyFill="1" applyBorder="1" applyAlignment="1" applyProtection="1">
      <alignment horizontal="center"/>
      <protection locked="0"/>
    </xf>
    <xf numFmtId="0" fontId="6" fillId="2" borderId="1" xfId="1" applyNumberFormat="1" applyFont="1" applyFill="1" applyBorder="1" applyAlignment="1" applyProtection="1">
      <alignment horizontal="left"/>
      <protection locked="0"/>
    </xf>
    <xf numFmtId="0" fontId="6" fillId="2" borderId="11" xfId="1" applyNumberFormat="1" applyFont="1" applyFill="1" applyBorder="1" applyAlignment="1" applyProtection="1">
      <alignment horizontal="left"/>
      <protection locked="0"/>
    </xf>
    <xf numFmtId="0" fontId="6" fillId="2" borderId="8" xfId="1" applyNumberFormat="1" applyFont="1" applyFill="1" applyBorder="1" applyAlignment="1" applyProtection="1">
      <alignment horizontal="left"/>
      <protection locked="0"/>
    </xf>
    <xf numFmtId="10" fontId="2" fillId="2" borderId="1" xfId="0" applyNumberFormat="1" applyFont="1" applyFill="1" applyBorder="1" applyAlignment="1" applyProtection="1">
      <alignment horizontal="left"/>
      <protection locked="0"/>
    </xf>
    <xf numFmtId="10" fontId="2" fillId="2" borderId="11" xfId="0" applyNumberFormat="1" applyFont="1" applyFill="1" applyBorder="1" applyAlignment="1" applyProtection="1">
      <alignment horizontal="left"/>
      <protection locked="0"/>
    </xf>
    <xf numFmtId="10" fontId="2" fillId="2" borderId="8" xfId="0" applyNumberFormat="1" applyFont="1" applyFill="1" applyBorder="1" applyAlignment="1" applyProtection="1">
      <alignment horizontal="left"/>
      <protection locked="0"/>
    </xf>
    <xf numFmtId="14" fontId="6" fillId="2" borderId="1" xfId="0" applyNumberFormat="1" applyFont="1" applyFill="1" applyBorder="1" applyAlignment="1" applyProtection="1">
      <alignment horizontal="center"/>
    </xf>
    <xf numFmtId="14" fontId="6" fillId="2" borderId="11" xfId="0" applyNumberFormat="1" applyFont="1" applyFill="1" applyBorder="1" applyAlignment="1" applyProtection="1">
      <alignment horizontal="center"/>
    </xf>
    <xf numFmtId="14" fontId="6" fillId="2" borderId="8" xfId="0" applyNumberFormat="1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/>
    </xf>
    <xf numFmtId="0" fontId="11" fillId="0" borderId="3" xfId="0" applyFont="1" applyBorder="1" applyAlignment="1" applyProtection="1"/>
    <xf numFmtId="0" fontId="16" fillId="0" borderId="45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0" borderId="44" xfId="0" applyFont="1" applyBorder="1" applyAlignment="1" applyProtection="1">
      <alignment horizontal="center"/>
    </xf>
    <xf numFmtId="10" fontId="6" fillId="2" borderId="1" xfId="0" applyNumberFormat="1" applyFont="1" applyFill="1" applyBorder="1" applyAlignment="1" applyProtection="1">
      <alignment horizontal="center"/>
    </xf>
    <xf numFmtId="10" fontId="6" fillId="2" borderId="11" xfId="0" applyNumberFormat="1" applyFont="1" applyFill="1" applyBorder="1" applyAlignment="1" applyProtection="1">
      <alignment horizontal="center"/>
    </xf>
    <xf numFmtId="10" fontId="6" fillId="2" borderId="8" xfId="0" applyNumberFormat="1" applyFont="1" applyFill="1" applyBorder="1" applyAlignment="1" applyProtection="1">
      <alignment horizontal="center"/>
    </xf>
    <xf numFmtId="0" fontId="6" fillId="2" borderId="1" xfId="1" applyNumberFormat="1" applyFont="1" applyFill="1" applyBorder="1" applyAlignment="1" applyProtection="1">
      <alignment horizontal="left"/>
    </xf>
    <xf numFmtId="0" fontId="6" fillId="2" borderId="11" xfId="1" applyNumberFormat="1" applyFont="1" applyFill="1" applyBorder="1" applyAlignment="1" applyProtection="1">
      <alignment horizontal="left"/>
    </xf>
    <xf numFmtId="0" fontId="6" fillId="2" borderId="8" xfId="1" applyNumberFormat="1" applyFont="1" applyFill="1" applyBorder="1" applyAlignment="1" applyProtection="1">
      <alignment horizontal="left"/>
    </xf>
    <xf numFmtId="10" fontId="2" fillId="2" borderId="1" xfId="0" applyNumberFormat="1" applyFont="1" applyFill="1" applyBorder="1" applyAlignment="1" applyProtection="1">
      <alignment horizontal="left"/>
    </xf>
    <xf numFmtId="10" fontId="2" fillId="2" borderId="11" xfId="0" applyNumberFormat="1" applyFont="1" applyFill="1" applyBorder="1" applyAlignment="1" applyProtection="1">
      <alignment horizontal="left"/>
    </xf>
    <xf numFmtId="10" fontId="2" fillId="2" borderId="8" xfId="0" applyNumberFormat="1" applyFont="1" applyFill="1" applyBorder="1" applyAlignment="1" applyProtection="1">
      <alignment horizontal="left"/>
    </xf>
    <xf numFmtId="0" fontId="6" fillId="0" borderId="0" xfId="4" applyFont="1" applyFill="1" applyBorder="1" applyAlignment="1" applyProtection="1">
      <alignment horizontal="left" vertical="center" wrapText="1"/>
    </xf>
    <xf numFmtId="0" fontId="6" fillId="10" borderId="55" xfId="4" applyFont="1" applyFill="1" applyBorder="1" applyAlignment="1" applyProtection="1">
      <alignment horizontal="center" vertical="center" wrapText="1"/>
    </xf>
    <xf numFmtId="0" fontId="6" fillId="10" borderId="2" xfId="4" applyFont="1" applyFill="1" applyBorder="1" applyAlignment="1" applyProtection="1">
      <alignment horizontal="center" vertical="center" wrapText="1"/>
    </xf>
    <xf numFmtId="0" fontId="6" fillId="11" borderId="60" xfId="4" applyFont="1" applyFill="1" applyBorder="1" applyAlignment="1" applyProtection="1">
      <alignment horizontal="center" vertical="center" wrapText="1"/>
    </xf>
    <xf numFmtId="0" fontId="6" fillId="11" borderId="2" xfId="4" applyFont="1" applyFill="1" applyBorder="1" applyAlignment="1" applyProtection="1">
      <alignment horizontal="center" vertical="center" wrapText="1"/>
    </xf>
    <xf numFmtId="0" fontId="1" fillId="9" borderId="0" xfId="4" applyFont="1" applyFill="1" applyAlignment="1" applyProtection="1">
      <alignment horizontal="left" vertical="center" wrapText="1"/>
    </xf>
    <xf numFmtId="0" fontId="1" fillId="0" borderId="0" xfId="4" applyFont="1" applyBorder="1" applyAlignment="1" applyProtection="1">
      <alignment horizontal="left" vertical="center" wrapText="1"/>
    </xf>
    <xf numFmtId="0" fontId="39" fillId="9" borderId="58" xfId="4" applyFont="1" applyFill="1" applyBorder="1" applyAlignment="1" applyProtection="1">
      <alignment horizontal="center"/>
    </xf>
    <xf numFmtId="0" fontId="38" fillId="9" borderId="57" xfId="4" applyFont="1" applyFill="1" applyBorder="1" applyAlignment="1" applyProtection="1">
      <alignment horizontal="center"/>
    </xf>
    <xf numFmtId="0" fontId="6" fillId="5" borderId="2" xfId="4" applyFont="1" applyFill="1" applyBorder="1" applyAlignment="1" applyProtection="1">
      <alignment horizontal="center" vertical="center"/>
    </xf>
    <xf numFmtId="0" fontId="6" fillId="5" borderId="3" xfId="4" applyFont="1" applyFill="1" applyBorder="1" applyAlignment="1" applyProtection="1">
      <alignment horizontal="center" vertical="center"/>
    </xf>
    <xf numFmtId="0" fontId="6" fillId="5" borderId="55" xfId="4" applyFont="1" applyFill="1" applyBorder="1" applyAlignment="1" applyProtection="1">
      <alignment horizontal="center" vertical="center" wrapText="1"/>
    </xf>
    <xf numFmtId="0" fontId="6" fillId="5" borderId="2" xfId="4" applyFont="1" applyFill="1" applyBorder="1" applyAlignment="1" applyProtection="1">
      <alignment horizontal="center" vertical="center" wrapText="1"/>
    </xf>
    <xf numFmtId="0" fontId="6" fillId="11" borderId="46" xfId="4" applyFont="1" applyFill="1" applyBorder="1" applyAlignment="1" applyProtection="1">
      <alignment horizontal="center" vertical="center"/>
    </xf>
    <xf numFmtId="0" fontId="6" fillId="11" borderId="2" xfId="4" applyFont="1" applyFill="1" applyBorder="1" applyAlignment="1" applyProtection="1">
      <alignment horizontal="center" vertical="center"/>
    </xf>
    <xf numFmtId="0" fontId="6" fillId="11" borderId="46" xfId="4" applyFont="1" applyFill="1" applyBorder="1" applyAlignment="1" applyProtection="1">
      <alignment horizontal="center" vertical="center" wrapText="1"/>
    </xf>
    <xf numFmtId="4" fontId="1" fillId="0" borderId="0" xfId="4" applyNumberFormat="1" applyFont="1" applyFill="1" applyBorder="1" applyAlignment="1">
      <alignment horizontal="center" vertical="center" wrapText="1"/>
    </xf>
    <xf numFmtId="0" fontId="40" fillId="9" borderId="33" xfId="4" applyFont="1" applyFill="1" applyBorder="1" applyAlignment="1" applyProtection="1">
      <alignment horizontal="center"/>
    </xf>
    <xf numFmtId="0" fontId="6" fillId="0" borderId="0" xfId="4" applyFont="1" applyFill="1" applyBorder="1" applyAlignment="1">
      <alignment horizontal="center" vertical="center" wrapText="1"/>
    </xf>
    <xf numFmtId="0" fontId="6" fillId="8" borderId="7" xfId="4" applyFont="1" applyFill="1" applyBorder="1" applyAlignment="1" applyProtection="1">
      <alignment horizontal="center" vertical="center" wrapText="1"/>
    </xf>
    <xf numFmtId="0" fontId="6" fillId="8" borderId="2" xfId="4" applyFont="1" applyFill="1" applyBorder="1" applyAlignment="1" applyProtection="1">
      <alignment horizontal="center" vertical="center" wrapText="1"/>
    </xf>
    <xf numFmtId="0" fontId="36" fillId="9" borderId="53" xfId="4" applyFont="1" applyFill="1" applyBorder="1" applyAlignment="1" applyProtection="1">
      <alignment horizontal="center"/>
    </xf>
    <xf numFmtId="0" fontId="6" fillId="10" borderId="55" xfId="4" applyFont="1" applyFill="1" applyBorder="1" applyAlignment="1" applyProtection="1">
      <alignment horizontal="center" vertical="center"/>
    </xf>
    <xf numFmtId="0" fontId="6" fillId="10" borderId="2" xfId="4" applyFont="1" applyFill="1" applyBorder="1" applyAlignment="1" applyProtection="1">
      <alignment horizontal="center" vertical="center"/>
    </xf>
    <xf numFmtId="0" fontId="6" fillId="0" borderId="3" xfId="4" applyFont="1" applyBorder="1" applyAlignment="1" applyProtection="1">
      <alignment horizontal="center" vertical="center"/>
    </xf>
    <xf numFmtId="4" fontId="22" fillId="0" borderId="1" xfId="4" applyNumberFormat="1" applyFont="1" applyFill="1" applyBorder="1" applyAlignment="1" applyProtection="1">
      <alignment horizontal="left" vertical="center"/>
    </xf>
    <xf numFmtId="4" fontId="22" fillId="0" borderId="11" xfId="4" applyNumberFormat="1" applyFont="1" applyFill="1" applyBorder="1" applyAlignment="1" applyProtection="1">
      <alignment horizontal="left" vertical="center"/>
    </xf>
    <xf numFmtId="4" fontId="22" fillId="0" borderId="8" xfId="4" applyNumberFormat="1" applyFont="1" applyFill="1" applyBorder="1" applyAlignment="1" applyProtection="1">
      <alignment horizontal="left" vertical="center"/>
    </xf>
    <xf numFmtId="0" fontId="6" fillId="9" borderId="3" xfId="4" applyFont="1" applyFill="1" applyBorder="1" applyAlignment="1" applyProtection="1">
      <alignment horizontal="center" vertical="center"/>
    </xf>
    <xf numFmtId="0" fontId="6" fillId="7" borderId="19" xfId="4" applyFont="1" applyFill="1" applyBorder="1" applyAlignment="1" applyProtection="1">
      <alignment horizontal="center" vertical="center" wrapText="1"/>
    </xf>
    <xf numFmtId="0" fontId="6" fillId="7" borderId="12" xfId="4" applyFont="1" applyFill="1" applyBorder="1" applyAlignment="1" applyProtection="1">
      <alignment horizontal="center" vertical="center" wrapText="1"/>
    </xf>
    <xf numFmtId="0" fontId="6" fillId="7" borderId="54" xfId="4" applyFont="1" applyFill="1" applyBorder="1" applyAlignment="1" applyProtection="1">
      <alignment horizontal="center" vertical="center" wrapText="1"/>
    </xf>
    <xf numFmtId="0" fontId="37" fillId="9" borderId="0" xfId="4" applyFont="1" applyFill="1" applyBorder="1" applyAlignment="1" applyProtection="1">
      <alignment horizontal="center" vertical="center"/>
    </xf>
    <xf numFmtId="0" fontId="1" fillId="9" borderId="0" xfId="4" applyFont="1" applyFill="1" applyBorder="1" applyAlignment="1" applyProtection="1">
      <alignment horizontal="center" vertical="center"/>
    </xf>
    <xf numFmtId="0" fontId="6" fillId="10" borderId="38" xfId="4" applyFont="1" applyFill="1" applyBorder="1" applyAlignment="1" applyProtection="1">
      <alignment horizontal="center" vertical="center"/>
    </xf>
    <xf numFmtId="0" fontId="6" fillId="10" borderId="47" xfId="4" applyFont="1" applyFill="1" applyBorder="1" applyAlignment="1" applyProtection="1">
      <alignment horizontal="center" vertical="center"/>
    </xf>
    <xf numFmtId="0" fontId="6" fillId="10" borderId="49" xfId="4" applyFont="1" applyFill="1" applyBorder="1" applyAlignment="1" applyProtection="1">
      <alignment horizontal="center" vertical="center"/>
    </xf>
    <xf numFmtId="0" fontId="6" fillId="10" borderId="32" xfId="4" applyFont="1" applyFill="1" applyBorder="1" applyAlignment="1" applyProtection="1">
      <alignment horizontal="center" vertical="center"/>
    </xf>
    <xf numFmtId="0" fontId="6" fillId="10" borderId="33" xfId="4" applyFont="1" applyFill="1" applyBorder="1" applyAlignment="1" applyProtection="1">
      <alignment horizontal="center" vertical="center"/>
    </xf>
    <xf numFmtId="0" fontId="6" fillId="10" borderId="9" xfId="4" applyFont="1" applyFill="1" applyBorder="1" applyAlignment="1" applyProtection="1">
      <alignment horizontal="center" vertical="center"/>
    </xf>
  </cellXfs>
  <cellStyles count="6">
    <cellStyle name="Moeda" xfId="1" builtinId="4"/>
    <cellStyle name="Normal" xfId="0" builtinId="0"/>
    <cellStyle name="Normal 2" xfId="4"/>
    <cellStyle name="Porcentagem" xfId="2" builtinId="5"/>
    <cellStyle name="Título 2" xfId="5" builtinId="17"/>
    <cellStyle name="Vírgula" xfId="3" builtinId="3"/>
  </cellStyles>
  <dxfs count="0"/>
  <tableStyles count="0" defaultTableStyle="TableStyleMedium9" defaultPivotStyle="PivotStyleLight16"/>
  <colors>
    <mruColors>
      <color rgb="FFFFFFCC"/>
      <color rgb="FF1D08B8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46"/>
  <sheetViews>
    <sheetView showGridLines="0" tabSelected="1" view="pageBreakPreview" topLeftCell="A127" zoomScaleNormal="100" zoomScaleSheetLayoutView="100" workbookViewId="0">
      <selection activeCell="F66" sqref="F66"/>
    </sheetView>
  </sheetViews>
  <sheetFormatPr defaultRowHeight="12.75" x14ac:dyDescent="0.2"/>
  <cols>
    <col min="1" max="1" width="4.28515625" style="243" customWidth="1"/>
    <col min="2" max="2" width="49.7109375" style="243" customWidth="1"/>
    <col min="3" max="7" width="18.7109375" style="243" customWidth="1"/>
    <col min="8" max="8" width="42.28515625" style="243" customWidth="1"/>
    <col min="9" max="16384" width="9.140625" style="243"/>
  </cols>
  <sheetData>
    <row r="1" spans="1:8" s="310" customFormat="1" ht="17.25" customHeight="1" x14ac:dyDescent="0.25">
      <c r="A1" s="526" t="s">
        <v>173</v>
      </c>
      <c r="B1" s="526"/>
      <c r="C1" s="526"/>
      <c r="D1" s="526"/>
      <c r="E1" s="526"/>
      <c r="F1" s="526"/>
      <c r="G1" s="526"/>
      <c r="H1" s="526"/>
    </row>
    <row r="2" spans="1:8" s="310" customFormat="1" ht="15" customHeight="1" x14ac:dyDescent="0.25">
      <c r="A2" s="527" t="s">
        <v>291</v>
      </c>
      <c r="B2" s="527"/>
      <c r="C2" s="527"/>
      <c r="D2" s="527"/>
      <c r="E2" s="527"/>
      <c r="F2" s="527"/>
      <c r="G2" s="527"/>
      <c r="H2" s="527"/>
    </row>
    <row r="3" spans="1:8" s="310" customFormat="1" ht="15" customHeight="1" x14ac:dyDescent="0.25">
      <c r="A3" s="528" t="s">
        <v>187</v>
      </c>
      <c r="B3" s="528"/>
      <c r="C3" s="528"/>
      <c r="D3" s="528"/>
      <c r="E3" s="528"/>
      <c r="F3" s="528"/>
      <c r="G3" s="528"/>
      <c r="H3" s="528"/>
    </row>
    <row r="4" spans="1:8" s="240" customFormat="1" ht="1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s="240" customFormat="1" ht="15" customHeight="1" x14ac:dyDescent="0.25">
      <c r="A5" s="254"/>
      <c r="D5" s="261" t="s">
        <v>156</v>
      </c>
      <c r="E5" s="256" t="s">
        <v>188</v>
      </c>
    </row>
    <row r="6" spans="1:8" s="240" customFormat="1" ht="15" customHeight="1" x14ac:dyDescent="0.25">
      <c r="A6" s="254"/>
      <c r="D6" s="261" t="s">
        <v>157</v>
      </c>
      <c r="E6" s="435"/>
    </row>
    <row r="7" spans="1:8" s="240" customFormat="1" ht="15" customHeight="1" x14ac:dyDescent="0.25">
      <c r="A7" s="254"/>
      <c r="D7" s="413" t="s">
        <v>158</v>
      </c>
      <c r="E7" s="434"/>
    </row>
    <row r="8" spans="1:8" s="240" customFormat="1" ht="15" customHeight="1" x14ac:dyDescent="0.25">
      <c r="A8" s="254"/>
      <c r="B8" s="254"/>
      <c r="C8" s="254"/>
      <c r="D8" s="254"/>
      <c r="E8" s="254"/>
      <c r="F8" s="261"/>
      <c r="G8" s="407"/>
      <c r="H8" s="407"/>
    </row>
    <row r="9" spans="1:8" s="240" customFormat="1" ht="15" customHeight="1" x14ac:dyDescent="0.25">
      <c r="A9" s="443" t="s">
        <v>137</v>
      </c>
      <c r="B9" s="444"/>
      <c r="C9" s="444"/>
      <c r="D9" s="444"/>
      <c r="E9" s="444"/>
      <c r="F9" s="444"/>
      <c r="G9" s="444"/>
      <c r="H9" s="445"/>
    </row>
    <row r="10" spans="1:8" s="240" customFormat="1" ht="15" customHeight="1" x14ac:dyDescent="0.25">
      <c r="A10" s="446" t="s">
        <v>138</v>
      </c>
      <c r="B10" s="447"/>
      <c r="C10" s="447"/>
      <c r="D10" s="447"/>
      <c r="E10" s="447"/>
      <c r="F10" s="447"/>
      <c r="G10" s="447"/>
      <c r="H10" s="448"/>
    </row>
    <row r="11" spans="1:8" s="241" customFormat="1" ht="15" customHeight="1" thickBot="1" x14ac:dyDescent="0.3">
      <c r="A11" s="252"/>
      <c r="B11" s="257"/>
      <c r="C11" s="257"/>
      <c r="D11" s="258"/>
      <c r="E11" s="258"/>
      <c r="F11" s="258"/>
      <c r="G11" s="258"/>
      <c r="H11" s="258"/>
    </row>
    <row r="12" spans="1:8" s="241" customFormat="1" ht="15" customHeight="1" x14ac:dyDescent="0.25">
      <c r="A12" s="495" t="s">
        <v>139</v>
      </c>
      <c r="B12" s="495"/>
      <c r="C12" s="495"/>
      <c r="D12" s="496"/>
      <c r="E12" s="534">
        <v>1</v>
      </c>
      <c r="F12" s="535"/>
      <c r="G12" s="536"/>
      <c r="H12" s="408"/>
    </row>
    <row r="13" spans="1:8" s="241" customFormat="1" ht="30" customHeight="1" x14ac:dyDescent="0.25">
      <c r="A13" s="497" t="s">
        <v>140</v>
      </c>
      <c r="B13" s="497"/>
      <c r="C13" s="497"/>
      <c r="D13" s="498"/>
      <c r="E13" s="531" t="s">
        <v>326</v>
      </c>
      <c r="F13" s="532"/>
      <c r="G13" s="533"/>
      <c r="H13" s="258"/>
    </row>
    <row r="14" spans="1:8" s="241" customFormat="1" ht="15" customHeight="1" x14ac:dyDescent="0.25">
      <c r="A14" s="322"/>
      <c r="B14" s="333"/>
      <c r="C14" s="333"/>
      <c r="D14" s="333"/>
      <c r="E14" s="258"/>
      <c r="F14" s="258"/>
      <c r="G14" s="258"/>
      <c r="H14" s="258"/>
    </row>
    <row r="15" spans="1:8" s="241" customFormat="1" ht="30" customHeight="1" x14ac:dyDescent="0.25">
      <c r="A15" s="322"/>
      <c r="B15" s="333"/>
      <c r="C15" s="333"/>
      <c r="D15" s="333"/>
      <c r="E15" s="369" t="s">
        <v>260</v>
      </c>
      <c r="F15" s="370" t="s">
        <v>259</v>
      </c>
      <c r="G15" s="349" t="s">
        <v>205</v>
      </c>
      <c r="H15" s="414" t="s">
        <v>319</v>
      </c>
    </row>
    <row r="16" spans="1:8" s="241" customFormat="1" ht="15" customHeight="1" x14ac:dyDescent="0.25">
      <c r="A16" s="321" t="s">
        <v>196</v>
      </c>
      <c r="D16" s="258"/>
    </row>
    <row r="17" spans="1:8" s="241" customFormat="1" ht="15" customHeight="1" x14ac:dyDescent="0.25">
      <c r="A17" s="321"/>
      <c r="D17" s="258"/>
      <c r="E17" s="323"/>
      <c r="F17" s="323"/>
      <c r="G17" s="258"/>
      <c r="H17" s="258"/>
    </row>
    <row r="18" spans="1:8" s="241" customFormat="1" ht="15" customHeight="1" x14ac:dyDescent="0.25">
      <c r="A18" s="325" t="s">
        <v>202</v>
      </c>
      <c r="B18" s="458" t="s">
        <v>197</v>
      </c>
      <c r="C18" s="458"/>
      <c r="D18" s="459"/>
      <c r="E18" s="363">
        <f>((2226.768/44)*40)</f>
        <v>2024.3345454545454</v>
      </c>
      <c r="F18" s="426"/>
      <c r="G18" s="351">
        <f>E18+F18</f>
        <v>2024.3345454545454</v>
      </c>
      <c r="H18" s="430"/>
    </row>
    <row r="19" spans="1:8" s="241" customFormat="1" ht="15" customHeight="1" x14ac:dyDescent="0.25">
      <c r="A19" s="325" t="s">
        <v>204</v>
      </c>
      <c r="B19" s="459" t="s">
        <v>198</v>
      </c>
      <c r="C19" s="494"/>
      <c r="D19" s="324">
        <v>0</v>
      </c>
      <c r="E19" s="352">
        <f>ROUND(($E$18*D19),2)</f>
        <v>0</v>
      </c>
      <c r="F19" s="427"/>
      <c r="G19" s="351">
        <f t="shared" ref="G19:G25" si="0">E19+F19</f>
        <v>0</v>
      </c>
      <c r="H19" s="430" t="s">
        <v>309</v>
      </c>
    </row>
    <row r="20" spans="1:8" s="241" customFormat="1" ht="15" customHeight="1" x14ac:dyDescent="0.25">
      <c r="A20" s="325" t="s">
        <v>208</v>
      </c>
      <c r="B20" s="459" t="s">
        <v>199</v>
      </c>
      <c r="C20" s="494"/>
      <c r="D20" s="324">
        <v>0</v>
      </c>
      <c r="E20" s="352">
        <f>ROUND(($E$18*D20),2)</f>
        <v>0</v>
      </c>
      <c r="F20" s="427"/>
      <c r="G20" s="351">
        <f t="shared" si="0"/>
        <v>0</v>
      </c>
      <c r="H20" s="430" t="s">
        <v>310</v>
      </c>
    </row>
    <row r="21" spans="1:8" s="241" customFormat="1" ht="15" x14ac:dyDescent="0.25">
      <c r="A21" s="325" t="s">
        <v>203</v>
      </c>
      <c r="B21" s="500" t="s">
        <v>200</v>
      </c>
      <c r="C21" s="501"/>
      <c r="D21" s="324">
        <v>0</v>
      </c>
      <c r="E21" s="352">
        <f>ROUND(($E$18*D21),2)</f>
        <v>0</v>
      </c>
      <c r="F21" s="427"/>
      <c r="G21" s="351">
        <f t="shared" si="0"/>
        <v>0</v>
      </c>
      <c r="H21" s="431" t="s">
        <v>308</v>
      </c>
    </row>
    <row r="22" spans="1:8" s="241" customFormat="1" ht="15" customHeight="1" x14ac:dyDescent="0.25">
      <c r="A22" s="325" t="s">
        <v>209</v>
      </c>
      <c r="B22" s="459" t="s">
        <v>201</v>
      </c>
      <c r="C22" s="494"/>
      <c r="D22" s="324">
        <v>0</v>
      </c>
      <c r="E22" s="352">
        <f>ROUND(($E$18*D22),2)</f>
        <v>0</v>
      </c>
      <c r="F22" s="427"/>
      <c r="G22" s="351">
        <f t="shared" si="0"/>
        <v>0</v>
      </c>
      <c r="H22" s="430" t="s">
        <v>311</v>
      </c>
    </row>
    <row r="23" spans="1:8" s="241" customFormat="1" ht="15" customHeight="1" x14ac:dyDescent="0.25">
      <c r="A23" s="325" t="s">
        <v>210</v>
      </c>
      <c r="B23" s="502" t="s">
        <v>220</v>
      </c>
      <c r="C23" s="502"/>
      <c r="D23" s="503"/>
      <c r="E23" s="362">
        <v>0</v>
      </c>
      <c r="F23" s="427"/>
      <c r="G23" s="351">
        <f>E23+F23</f>
        <v>0</v>
      </c>
      <c r="H23" s="430"/>
    </row>
    <row r="24" spans="1:8" s="241" customFormat="1" ht="15" customHeight="1" x14ac:dyDescent="0.25">
      <c r="A24" s="276"/>
      <c r="B24" s="257"/>
      <c r="C24" s="257"/>
      <c r="D24" s="258"/>
      <c r="E24" s="353"/>
      <c r="F24" s="353"/>
      <c r="G24" s="353"/>
      <c r="H24" s="353"/>
    </row>
    <row r="25" spans="1:8" s="241" customFormat="1" ht="15" customHeight="1" x14ac:dyDescent="0.25">
      <c r="A25" s="475" t="s">
        <v>224</v>
      </c>
      <c r="B25" s="476"/>
      <c r="C25" s="476"/>
      <c r="D25" s="476"/>
      <c r="E25" s="357">
        <f>SUM(E18:E23)</f>
        <v>2024.3345454545454</v>
      </c>
      <c r="F25" s="358">
        <f>SUM(F18:F23)</f>
        <v>0</v>
      </c>
      <c r="G25" s="356">
        <f t="shared" si="0"/>
        <v>2024.3345454545454</v>
      </c>
      <c r="H25" s="410"/>
    </row>
    <row r="26" spans="1:8" s="241" customFormat="1" ht="15" customHeight="1" x14ac:dyDescent="0.25">
      <c r="A26" s="322"/>
      <c r="B26" s="257"/>
      <c r="C26" s="257"/>
      <c r="D26" s="258"/>
      <c r="E26" s="353"/>
      <c r="F26" s="353"/>
      <c r="G26" s="353"/>
      <c r="H26" s="353"/>
    </row>
    <row r="27" spans="1:8" s="241" customFormat="1" ht="15" customHeight="1" x14ac:dyDescent="0.25">
      <c r="A27" s="321" t="s">
        <v>206</v>
      </c>
      <c r="B27" s="257"/>
      <c r="C27" s="257"/>
      <c r="D27" s="258"/>
      <c r="E27" s="353"/>
      <c r="F27" s="353"/>
      <c r="G27" s="353"/>
      <c r="H27" s="353"/>
    </row>
    <row r="28" spans="1:8" s="241" customFormat="1" ht="15" customHeight="1" x14ac:dyDescent="0.25">
      <c r="A28" s="321"/>
      <c r="B28" s="257"/>
      <c r="C28" s="257"/>
      <c r="D28" s="258"/>
      <c r="E28" s="353"/>
      <c r="F28" s="353"/>
      <c r="G28" s="353"/>
      <c r="H28" s="353"/>
    </row>
    <row r="29" spans="1:8" s="241" customFormat="1" ht="15" customHeight="1" x14ac:dyDescent="0.25">
      <c r="A29" s="326" t="s">
        <v>207</v>
      </c>
      <c r="D29" s="258"/>
      <c r="E29" s="353"/>
      <c r="F29" s="353"/>
      <c r="G29" s="353"/>
      <c r="H29" s="353"/>
    </row>
    <row r="30" spans="1:8" s="241" customFormat="1" ht="56.25" customHeight="1" x14ac:dyDescent="0.25">
      <c r="A30" s="325" t="s">
        <v>202</v>
      </c>
      <c r="B30" s="500" t="s">
        <v>315</v>
      </c>
      <c r="C30" s="501"/>
      <c r="D30" s="324">
        <v>8.3299999999999999E-2</v>
      </c>
      <c r="E30" s="428"/>
      <c r="F30" s="350">
        <f>ROUND((D30*$E$25),2)</f>
        <v>168.63</v>
      </c>
      <c r="G30" s="351">
        <f>E30+F30</f>
        <v>168.63</v>
      </c>
      <c r="H30" s="431" t="s">
        <v>316</v>
      </c>
    </row>
    <row r="31" spans="1:8" s="241" customFormat="1" ht="57" customHeight="1" x14ac:dyDescent="0.25">
      <c r="A31" s="325" t="s">
        <v>204</v>
      </c>
      <c r="B31" s="500" t="s">
        <v>317</v>
      </c>
      <c r="C31" s="501"/>
      <c r="D31" s="324">
        <v>2.7799999999999998E-2</v>
      </c>
      <c r="E31" s="428"/>
      <c r="F31" s="350">
        <f>ROUND((D31*$E$25),2)</f>
        <v>56.28</v>
      </c>
      <c r="G31" s="351">
        <f>E31+F31</f>
        <v>56.28</v>
      </c>
      <c r="H31" s="431" t="s">
        <v>318</v>
      </c>
    </row>
    <row r="32" spans="1:8" s="241" customFormat="1" ht="15" customHeight="1" x14ac:dyDescent="0.25">
      <c r="A32" s="472" t="s">
        <v>205</v>
      </c>
      <c r="B32" s="473"/>
      <c r="C32" s="474"/>
      <c r="D32" s="334">
        <f>SUM(D30:D31)</f>
        <v>0.1111</v>
      </c>
      <c r="E32" s="366">
        <f>SUM(E30:E31)</f>
        <v>0</v>
      </c>
      <c r="F32" s="367">
        <f>SUM(F30:F31)</f>
        <v>224.91</v>
      </c>
      <c r="G32" s="351">
        <f t="shared" ref="G32" si="1">E32+F32</f>
        <v>224.91</v>
      </c>
      <c r="H32" s="411"/>
    </row>
    <row r="33" spans="1:11" s="241" customFormat="1" ht="15" customHeight="1" x14ac:dyDescent="0.25">
      <c r="A33" s="504"/>
      <c r="B33" s="504"/>
      <c r="C33" s="504"/>
      <c r="D33" s="504"/>
      <c r="E33" s="353"/>
      <c r="F33" s="353"/>
      <c r="G33" s="353"/>
      <c r="H33" s="353"/>
    </row>
    <row r="34" spans="1:11" s="241" customFormat="1" ht="15" customHeight="1" x14ac:dyDescent="0.25">
      <c r="A34" s="326" t="s">
        <v>211</v>
      </c>
      <c r="B34" s="257"/>
      <c r="C34" s="257"/>
      <c r="D34" s="258"/>
      <c r="E34" s="353"/>
      <c r="F34" s="353"/>
      <c r="G34" s="353"/>
      <c r="H34" s="353"/>
    </row>
    <row r="35" spans="1:11" s="241" customFormat="1" ht="15" customHeight="1" x14ac:dyDescent="0.25">
      <c r="A35" s="327" t="s">
        <v>202</v>
      </c>
      <c r="B35" s="480" t="s">
        <v>2</v>
      </c>
      <c r="C35" s="481"/>
      <c r="D35" s="329">
        <v>0.2</v>
      </c>
      <c r="E35" s="432">
        <f>ROUND((D35*$E$25),2)</f>
        <v>404.87</v>
      </c>
      <c r="F35" s="350">
        <f>ROUND((D35*$F$32),2)</f>
        <v>44.98</v>
      </c>
      <c r="G35" s="351">
        <f>E35+F35</f>
        <v>449.85</v>
      </c>
      <c r="H35" s="431" t="s">
        <v>294</v>
      </c>
    </row>
    <row r="36" spans="1:11" s="241" customFormat="1" ht="15" customHeight="1" x14ac:dyDescent="0.25">
      <c r="A36" s="327" t="s">
        <v>204</v>
      </c>
      <c r="B36" s="480" t="s">
        <v>5</v>
      </c>
      <c r="C36" s="481"/>
      <c r="D36" s="329">
        <v>2.5000000000000001E-2</v>
      </c>
      <c r="E36" s="432">
        <f t="shared" ref="E36:E42" si="2">ROUND((D36*$E$25),2)</f>
        <v>50.61</v>
      </c>
      <c r="F36" s="350">
        <f t="shared" ref="F36:F42" si="3">ROUND((D36*$F$32),2)</f>
        <v>5.62</v>
      </c>
      <c r="G36" s="351">
        <f t="shared" ref="G36:G42" si="4">E36+F36</f>
        <v>56.23</v>
      </c>
      <c r="H36" s="431" t="s">
        <v>298</v>
      </c>
    </row>
    <row r="37" spans="1:11" s="241" customFormat="1" ht="63.75" x14ac:dyDescent="0.25">
      <c r="A37" s="327" t="s">
        <v>208</v>
      </c>
      <c r="B37" s="480" t="s">
        <v>212</v>
      </c>
      <c r="C37" s="481"/>
      <c r="D37" s="329">
        <v>0.06</v>
      </c>
      <c r="E37" s="432">
        <f t="shared" si="2"/>
        <v>121.46</v>
      </c>
      <c r="F37" s="350">
        <f t="shared" si="3"/>
        <v>13.49</v>
      </c>
      <c r="G37" s="351">
        <f t="shared" si="4"/>
        <v>134.94999999999999</v>
      </c>
      <c r="H37" s="431" t="s">
        <v>300</v>
      </c>
    </row>
    <row r="38" spans="1:11" s="241" customFormat="1" ht="15" customHeight="1" x14ac:dyDescent="0.25">
      <c r="A38" s="327" t="s">
        <v>203</v>
      </c>
      <c r="B38" s="480" t="s">
        <v>213</v>
      </c>
      <c r="C38" s="481"/>
      <c r="D38" s="329">
        <v>1.4999999999999999E-2</v>
      </c>
      <c r="E38" s="432">
        <f t="shared" si="2"/>
        <v>30.37</v>
      </c>
      <c r="F38" s="350">
        <f t="shared" si="3"/>
        <v>3.37</v>
      </c>
      <c r="G38" s="351">
        <f t="shared" si="4"/>
        <v>33.74</v>
      </c>
      <c r="H38" s="431" t="s">
        <v>295</v>
      </c>
    </row>
    <row r="39" spans="1:11" s="241" customFormat="1" ht="15" customHeight="1" x14ac:dyDescent="0.25">
      <c r="A39" s="327" t="s">
        <v>209</v>
      </c>
      <c r="B39" s="480" t="s">
        <v>214</v>
      </c>
      <c r="C39" s="481"/>
      <c r="D39" s="329">
        <v>0.01</v>
      </c>
      <c r="E39" s="432">
        <f t="shared" si="2"/>
        <v>20.239999999999998</v>
      </c>
      <c r="F39" s="350">
        <f t="shared" si="3"/>
        <v>2.25</v>
      </c>
      <c r="G39" s="351">
        <f t="shared" si="4"/>
        <v>22.49</v>
      </c>
      <c r="H39" s="431" t="s">
        <v>297</v>
      </c>
    </row>
    <row r="40" spans="1:11" s="241" customFormat="1" ht="15" customHeight="1" x14ac:dyDescent="0.25">
      <c r="A40" s="327" t="s">
        <v>210</v>
      </c>
      <c r="B40" s="480" t="s">
        <v>7</v>
      </c>
      <c r="C40" s="481"/>
      <c r="D40" s="329">
        <v>6.0000000000000001E-3</v>
      </c>
      <c r="E40" s="432">
        <f t="shared" si="2"/>
        <v>12.15</v>
      </c>
      <c r="F40" s="350">
        <f t="shared" si="3"/>
        <v>1.35</v>
      </c>
      <c r="G40" s="351">
        <f t="shared" si="4"/>
        <v>13.5</v>
      </c>
      <c r="H40" s="431" t="s">
        <v>299</v>
      </c>
    </row>
    <row r="41" spans="1:11" s="241" customFormat="1" ht="15" customHeight="1" x14ac:dyDescent="0.25">
      <c r="A41" s="327" t="s">
        <v>216</v>
      </c>
      <c r="B41" s="480" t="s">
        <v>3</v>
      </c>
      <c r="C41" s="481"/>
      <c r="D41" s="329">
        <v>2E-3</v>
      </c>
      <c r="E41" s="432">
        <f t="shared" si="2"/>
        <v>4.05</v>
      </c>
      <c r="F41" s="350">
        <f t="shared" si="3"/>
        <v>0.45</v>
      </c>
      <c r="G41" s="351">
        <f t="shared" si="4"/>
        <v>4.5</v>
      </c>
      <c r="H41" s="431" t="s">
        <v>296</v>
      </c>
    </row>
    <row r="42" spans="1:11" s="241" customFormat="1" ht="25.5" x14ac:dyDescent="0.25">
      <c r="A42" s="327" t="s">
        <v>215</v>
      </c>
      <c r="B42" s="480" t="s">
        <v>6</v>
      </c>
      <c r="C42" s="481"/>
      <c r="D42" s="329">
        <v>0.08</v>
      </c>
      <c r="E42" s="432">
        <f t="shared" si="2"/>
        <v>161.94999999999999</v>
      </c>
      <c r="F42" s="350">
        <f t="shared" si="3"/>
        <v>17.989999999999998</v>
      </c>
      <c r="G42" s="351">
        <f t="shared" si="4"/>
        <v>179.94</v>
      </c>
      <c r="H42" s="431" t="s">
        <v>301</v>
      </c>
      <c r="K42" s="390"/>
    </row>
    <row r="43" spans="1:11" s="241" customFormat="1" ht="15" customHeight="1" x14ac:dyDescent="0.25">
      <c r="A43" s="477" t="s">
        <v>205</v>
      </c>
      <c r="B43" s="478"/>
      <c r="C43" s="479"/>
      <c r="D43" s="359">
        <f>SUM(D35:D42)</f>
        <v>0.39800000000000008</v>
      </c>
      <c r="E43" s="366">
        <f>ROUND((SUM(E35:E42)),2)</f>
        <v>805.7</v>
      </c>
      <c r="F43" s="367">
        <f>ROUND((SUM(F35:F42)),2)</f>
        <v>89.5</v>
      </c>
      <c r="G43" s="351">
        <f t="shared" ref="G43" si="5">E43+F43</f>
        <v>895.2</v>
      </c>
      <c r="H43" s="431"/>
    </row>
    <row r="44" spans="1:11" s="241" customFormat="1" ht="15" customHeight="1" x14ac:dyDescent="0.25">
      <c r="A44" s="252"/>
      <c r="B44" s="257"/>
      <c r="C44" s="257"/>
      <c r="D44" s="258"/>
      <c r="E44" s="353"/>
      <c r="F44" s="353"/>
      <c r="G44" s="353"/>
      <c r="H44" s="353"/>
    </row>
    <row r="45" spans="1:11" s="241" customFormat="1" ht="15" customHeight="1" x14ac:dyDescent="0.25">
      <c r="A45" s="326" t="s">
        <v>217</v>
      </c>
      <c r="B45" s="257"/>
      <c r="C45" s="257"/>
      <c r="D45" s="258"/>
      <c r="E45" s="353"/>
      <c r="F45" s="353"/>
      <c r="G45" s="353"/>
      <c r="H45" s="353"/>
    </row>
    <row r="46" spans="1:11" s="241" customFormat="1" ht="15" customHeight="1" x14ac:dyDescent="0.25">
      <c r="A46" s="524" t="s">
        <v>202</v>
      </c>
      <c r="B46" s="468" t="s">
        <v>218</v>
      </c>
      <c r="C46" s="332" t="s">
        <v>222</v>
      </c>
      <c r="D46" s="361">
        <v>4.5</v>
      </c>
      <c r="E46" s="509">
        <f>ROUND((IF(E18&gt;0,MAX(0,(D46*(21*D47))-(6%*E18),0),0)),2)</f>
        <v>67.540000000000006</v>
      </c>
      <c r="F46" s="511"/>
      <c r="G46" s="507">
        <f>E46+F46</f>
        <v>67.540000000000006</v>
      </c>
      <c r="H46" s="529" t="s">
        <v>302</v>
      </c>
    </row>
    <row r="47" spans="1:11" s="241" customFormat="1" ht="15" customHeight="1" x14ac:dyDescent="0.25">
      <c r="A47" s="525"/>
      <c r="B47" s="468"/>
      <c r="C47" s="386" t="s">
        <v>223</v>
      </c>
      <c r="D47" s="364">
        <v>2</v>
      </c>
      <c r="E47" s="510"/>
      <c r="F47" s="512"/>
      <c r="G47" s="508"/>
      <c r="H47" s="530"/>
    </row>
    <row r="48" spans="1:11" s="241" customFormat="1" ht="15" customHeight="1" x14ac:dyDescent="0.25">
      <c r="A48" s="524" t="s">
        <v>204</v>
      </c>
      <c r="B48" s="468" t="s">
        <v>219</v>
      </c>
      <c r="C48" s="332" t="s">
        <v>222</v>
      </c>
      <c r="D48" s="361">
        <v>20</v>
      </c>
      <c r="E48" s="509">
        <f>ROUND(((D48*21)-((D48*21)*D49)),2)</f>
        <v>336</v>
      </c>
      <c r="F48" s="511"/>
      <c r="G48" s="507">
        <f>E48+F48</f>
        <v>336</v>
      </c>
      <c r="H48" s="529" t="s">
        <v>303</v>
      </c>
    </row>
    <row r="49" spans="1:11" s="241" customFormat="1" ht="15" customHeight="1" x14ac:dyDescent="0.25">
      <c r="A49" s="525"/>
      <c r="B49" s="468"/>
      <c r="C49" s="386" t="s">
        <v>195</v>
      </c>
      <c r="D49" s="365">
        <v>0.2</v>
      </c>
      <c r="E49" s="510"/>
      <c r="F49" s="512"/>
      <c r="G49" s="508"/>
      <c r="H49" s="530"/>
    </row>
    <row r="50" spans="1:11" s="241" customFormat="1" ht="15" customHeight="1" x14ac:dyDescent="0.25">
      <c r="A50" s="325" t="s">
        <v>208</v>
      </c>
      <c r="B50" s="492" t="s">
        <v>221</v>
      </c>
      <c r="C50" s="493"/>
      <c r="D50" s="361">
        <v>0</v>
      </c>
      <c r="E50" s="352">
        <f>D50</f>
        <v>0</v>
      </c>
      <c r="F50" s="429"/>
      <c r="G50" s="351">
        <f>E50+F50</f>
        <v>0</v>
      </c>
      <c r="H50" s="411"/>
    </row>
    <row r="51" spans="1:11" s="241" customFormat="1" ht="15" customHeight="1" x14ac:dyDescent="0.25">
      <c r="A51" s="325" t="s">
        <v>203</v>
      </c>
      <c r="B51" s="492" t="s">
        <v>221</v>
      </c>
      <c r="C51" s="493"/>
      <c r="D51" s="361">
        <v>0</v>
      </c>
      <c r="E51" s="352">
        <f t="shared" ref="E51:E53" si="6">D51</f>
        <v>0</v>
      </c>
      <c r="F51" s="429"/>
      <c r="G51" s="351">
        <f t="shared" ref="G51:G53" si="7">E51+F51</f>
        <v>0</v>
      </c>
      <c r="H51" s="411"/>
      <c r="K51" s="390"/>
    </row>
    <row r="52" spans="1:11" s="241" customFormat="1" ht="15" customHeight="1" x14ac:dyDescent="0.25">
      <c r="A52" s="325" t="s">
        <v>209</v>
      </c>
      <c r="B52" s="492" t="s">
        <v>221</v>
      </c>
      <c r="C52" s="493"/>
      <c r="D52" s="361">
        <v>0</v>
      </c>
      <c r="E52" s="352">
        <f t="shared" si="6"/>
        <v>0</v>
      </c>
      <c r="F52" s="429"/>
      <c r="G52" s="351">
        <f t="shared" si="7"/>
        <v>0</v>
      </c>
      <c r="H52" s="411"/>
    </row>
    <row r="53" spans="1:11" s="241" customFormat="1" ht="15" customHeight="1" x14ac:dyDescent="0.25">
      <c r="A53" s="325" t="s">
        <v>210</v>
      </c>
      <c r="B53" s="492" t="s">
        <v>221</v>
      </c>
      <c r="C53" s="493"/>
      <c r="D53" s="361">
        <v>0</v>
      </c>
      <c r="E53" s="352">
        <f t="shared" si="6"/>
        <v>0</v>
      </c>
      <c r="F53" s="429"/>
      <c r="G53" s="351">
        <f t="shared" si="7"/>
        <v>0</v>
      </c>
      <c r="H53" s="411"/>
    </row>
    <row r="54" spans="1:11" s="241" customFormat="1" ht="15" customHeight="1" x14ac:dyDescent="0.25">
      <c r="A54" s="477" t="s">
        <v>205</v>
      </c>
      <c r="B54" s="478"/>
      <c r="C54" s="478"/>
      <c r="D54" s="478"/>
      <c r="E54" s="366">
        <f>SUM(E46:E53)</f>
        <v>403.54</v>
      </c>
      <c r="F54" s="367">
        <f>SUM(F46:F53)</f>
        <v>0</v>
      </c>
      <c r="G54" s="351">
        <f t="shared" ref="G54" si="8">E54+F54</f>
        <v>403.54</v>
      </c>
      <c r="H54" s="411"/>
    </row>
    <row r="55" spans="1:11" s="241" customFormat="1" ht="15" customHeight="1" x14ac:dyDescent="0.25">
      <c r="A55" s="276"/>
      <c r="B55" s="257"/>
      <c r="C55" s="257"/>
      <c r="D55" s="258"/>
      <c r="E55" s="353"/>
      <c r="F55" s="353"/>
      <c r="G55" s="353"/>
      <c r="H55" s="353"/>
    </row>
    <row r="56" spans="1:11" s="241" customFormat="1" ht="15" customHeight="1" x14ac:dyDescent="0.25">
      <c r="A56" s="488" t="s">
        <v>225</v>
      </c>
      <c r="B56" s="489"/>
      <c r="C56" s="489"/>
      <c r="D56" s="490"/>
      <c r="E56" s="357">
        <f>E32+E43+E54</f>
        <v>1209.24</v>
      </c>
      <c r="F56" s="358">
        <f>F54+F43+F32</f>
        <v>314.40999999999997</v>
      </c>
      <c r="G56" s="356">
        <f t="shared" ref="G56" si="9">E56+F56</f>
        <v>1523.65</v>
      </c>
      <c r="H56" s="410"/>
    </row>
    <row r="57" spans="1:11" s="241" customFormat="1" ht="15" customHeight="1" x14ac:dyDescent="0.25">
      <c r="A57" s="276"/>
      <c r="B57" s="257"/>
      <c r="C57" s="257"/>
      <c r="D57" s="258"/>
      <c r="E57" s="353"/>
      <c r="F57" s="353"/>
      <c r="G57" s="353"/>
      <c r="H57" s="353"/>
    </row>
    <row r="58" spans="1:11" s="241" customFormat="1" ht="15" customHeight="1" x14ac:dyDescent="0.25">
      <c r="A58" s="321" t="s">
        <v>226</v>
      </c>
      <c r="B58" s="257"/>
      <c r="C58" s="257"/>
      <c r="D58" s="258"/>
      <c r="E58" s="353"/>
      <c r="F58" s="353"/>
      <c r="G58" s="353"/>
      <c r="H58" s="353"/>
    </row>
    <row r="59" spans="1:11" s="241" customFormat="1" ht="15" customHeight="1" x14ac:dyDescent="0.25">
      <c r="A59" s="321"/>
      <c r="B59" s="257"/>
      <c r="C59" s="257"/>
      <c r="D59" s="258"/>
      <c r="E59" s="353"/>
      <c r="F59" s="353"/>
      <c r="G59" s="353"/>
      <c r="H59" s="353"/>
    </row>
    <row r="60" spans="1:11" s="241" customFormat="1" ht="89.25" x14ac:dyDescent="0.25">
      <c r="A60" s="327" t="s">
        <v>202</v>
      </c>
      <c r="B60" s="480" t="s">
        <v>147</v>
      </c>
      <c r="C60" s="481">
        <v>4.1999999999999997E-3</v>
      </c>
      <c r="D60" s="329">
        <v>4.1999999999999997E-3</v>
      </c>
      <c r="E60" s="428"/>
      <c r="F60" s="350">
        <f>ROUND((D60*$E$25),2)</f>
        <v>8.5</v>
      </c>
      <c r="G60" s="351">
        <f>E60+F60</f>
        <v>8.5</v>
      </c>
      <c r="H60" s="431" t="s">
        <v>306</v>
      </c>
    </row>
    <row r="61" spans="1:11" s="241" customFormat="1" ht="15" customHeight="1" x14ac:dyDescent="0.25">
      <c r="A61" s="327" t="s">
        <v>204</v>
      </c>
      <c r="B61" s="466" t="s">
        <v>227</v>
      </c>
      <c r="C61" s="467" t="s">
        <v>228</v>
      </c>
      <c r="D61" s="385">
        <f>D60*D42</f>
        <v>3.3599999999999998E-4</v>
      </c>
      <c r="E61" s="428"/>
      <c r="F61" s="350">
        <f t="shared" ref="F61:F66" si="10">ROUND((D61*$E$25),2)</f>
        <v>0.68</v>
      </c>
      <c r="G61" s="351">
        <f t="shared" ref="G61:G65" si="11">E61+F61</f>
        <v>0.68</v>
      </c>
      <c r="H61" s="433" t="s">
        <v>304</v>
      </c>
    </row>
    <row r="62" spans="1:11" s="241" customFormat="1" ht="15" customHeight="1" x14ac:dyDescent="0.25">
      <c r="A62" s="327" t="s">
        <v>208</v>
      </c>
      <c r="B62" s="466" t="s">
        <v>229</v>
      </c>
      <c r="C62" s="467">
        <v>2.5000000000000001E-2</v>
      </c>
      <c r="D62" s="385">
        <f>(0.4*D60)+(D35*D60)</f>
        <v>2.5200000000000001E-3</v>
      </c>
      <c r="E62" s="428"/>
      <c r="F62" s="350">
        <f t="shared" si="10"/>
        <v>5.0999999999999996</v>
      </c>
      <c r="G62" s="351">
        <f t="shared" si="11"/>
        <v>5.0999999999999996</v>
      </c>
      <c r="H62" s="433" t="s">
        <v>327</v>
      </c>
    </row>
    <row r="63" spans="1:11" s="241" customFormat="1" ht="51" x14ac:dyDescent="0.25">
      <c r="A63" s="327" t="s">
        <v>203</v>
      </c>
      <c r="B63" s="470" t="s">
        <v>148</v>
      </c>
      <c r="C63" s="471">
        <v>1.9400000000000001E-2</v>
      </c>
      <c r="D63" s="329">
        <v>1.9400000000000001E-2</v>
      </c>
      <c r="E63" s="428"/>
      <c r="F63" s="350">
        <f t="shared" si="10"/>
        <v>39.270000000000003</v>
      </c>
      <c r="G63" s="351">
        <f t="shared" si="11"/>
        <v>39.270000000000003</v>
      </c>
      <c r="H63" s="431" t="s">
        <v>307</v>
      </c>
    </row>
    <row r="64" spans="1:11" s="241" customFormat="1" ht="15" customHeight="1" x14ac:dyDescent="0.25">
      <c r="A64" s="327" t="s">
        <v>209</v>
      </c>
      <c r="B64" s="466" t="s">
        <v>230</v>
      </c>
      <c r="C64" s="467" t="s">
        <v>231</v>
      </c>
      <c r="D64" s="385">
        <f>D63*D43</f>
        <v>7.7212000000000018E-3</v>
      </c>
      <c r="E64" s="428"/>
      <c r="F64" s="350">
        <f t="shared" si="10"/>
        <v>15.63</v>
      </c>
      <c r="G64" s="351">
        <f t="shared" si="11"/>
        <v>15.63</v>
      </c>
      <c r="H64" s="433" t="s">
        <v>305</v>
      </c>
    </row>
    <row r="65" spans="1:8" s="241" customFormat="1" ht="15" customHeight="1" x14ac:dyDescent="0.25">
      <c r="A65" s="327" t="s">
        <v>210</v>
      </c>
      <c r="B65" s="466" t="s">
        <v>232</v>
      </c>
      <c r="C65" s="467"/>
      <c r="D65" s="385">
        <f>(D63*0.4)+(D63*D35)</f>
        <v>1.1640000000000001E-2</v>
      </c>
      <c r="E65" s="428"/>
      <c r="F65" s="350">
        <f t="shared" si="10"/>
        <v>23.56</v>
      </c>
      <c r="G65" s="351">
        <f t="shared" si="11"/>
        <v>23.56</v>
      </c>
      <c r="H65" s="433" t="s">
        <v>320</v>
      </c>
    </row>
    <row r="66" spans="1:8" s="241" customFormat="1" ht="117" customHeight="1" x14ac:dyDescent="0.25">
      <c r="A66" s="327" t="s">
        <v>216</v>
      </c>
      <c r="B66" s="470" t="s">
        <v>149</v>
      </c>
      <c r="C66" s="471"/>
      <c r="D66" s="329">
        <v>3.44E-2</v>
      </c>
      <c r="E66" s="428"/>
      <c r="F66" s="350">
        <f t="shared" si="10"/>
        <v>69.64</v>
      </c>
      <c r="G66" s="351">
        <f t="shared" ref="G66" si="12">E66+F66</f>
        <v>69.64</v>
      </c>
      <c r="H66" s="431" t="s">
        <v>321</v>
      </c>
    </row>
    <row r="67" spans="1:8" s="241" customFormat="1" ht="15" customHeight="1" x14ac:dyDescent="0.25">
      <c r="A67" s="276"/>
      <c r="B67" s="257"/>
      <c r="C67" s="257"/>
      <c r="D67" s="258"/>
      <c r="E67" s="353"/>
      <c r="F67" s="353"/>
      <c r="G67" s="353"/>
      <c r="H67" s="353"/>
    </row>
    <row r="68" spans="1:8" s="241" customFormat="1" ht="15" customHeight="1" x14ac:dyDescent="0.25">
      <c r="A68" s="488" t="s">
        <v>233</v>
      </c>
      <c r="B68" s="489"/>
      <c r="C68" s="489"/>
      <c r="D68" s="489"/>
      <c r="E68" s="357">
        <f>SUM(E60:E66)</f>
        <v>0</v>
      </c>
      <c r="F68" s="358">
        <f>ROUND((SUM(F60:F66)),2)</f>
        <v>162.38</v>
      </c>
      <c r="G68" s="356">
        <f t="shared" ref="G68" si="13">E68+F68</f>
        <v>162.38</v>
      </c>
      <c r="H68" s="410"/>
    </row>
    <row r="69" spans="1:8" s="241" customFormat="1" ht="15" customHeight="1" x14ac:dyDescent="0.25">
      <c r="A69" s="276"/>
      <c r="B69" s="257"/>
      <c r="C69" s="257"/>
      <c r="D69" s="258"/>
      <c r="E69" s="353"/>
      <c r="F69" s="353"/>
      <c r="G69" s="353"/>
      <c r="H69" s="353"/>
    </row>
    <row r="70" spans="1:8" s="241" customFormat="1" ht="15" customHeight="1" x14ac:dyDescent="0.25">
      <c r="A70" s="321" t="s">
        <v>234</v>
      </c>
      <c r="B70" s="257"/>
      <c r="C70" s="257"/>
      <c r="D70" s="258"/>
      <c r="E70" s="353"/>
      <c r="F70" s="353"/>
      <c r="G70" s="353"/>
      <c r="H70" s="353"/>
    </row>
    <row r="71" spans="1:8" s="241" customFormat="1" ht="15" customHeight="1" x14ac:dyDescent="0.25">
      <c r="A71" s="276"/>
      <c r="B71" s="257"/>
      <c r="C71" s="257"/>
      <c r="D71" s="258"/>
      <c r="E71" s="353"/>
      <c r="F71" s="353"/>
      <c r="G71" s="353"/>
      <c r="H71" s="353"/>
    </row>
    <row r="72" spans="1:8" s="241" customFormat="1" ht="15" customHeight="1" x14ac:dyDescent="0.25">
      <c r="A72" s="326" t="s">
        <v>235</v>
      </c>
      <c r="B72" s="257"/>
      <c r="C72" s="257"/>
      <c r="D72" s="258"/>
      <c r="E72" s="353"/>
      <c r="F72" s="353"/>
      <c r="G72" s="353"/>
      <c r="H72" s="353"/>
    </row>
    <row r="73" spans="1:8" s="241" customFormat="1" ht="15" hidden="1" customHeight="1" x14ac:dyDescent="0.25">
      <c r="A73" s="327" t="s">
        <v>202</v>
      </c>
      <c r="B73" s="463" t="s">
        <v>236</v>
      </c>
      <c r="C73" s="469"/>
      <c r="D73" s="329">
        <v>0</v>
      </c>
      <c r="E73" s="428"/>
      <c r="F73" s="350">
        <f>ROUND((D73*$E$25),2)</f>
        <v>0</v>
      </c>
      <c r="G73" s="351">
        <f>E73+F73</f>
        <v>0</v>
      </c>
      <c r="H73" s="411"/>
    </row>
    <row r="74" spans="1:8" s="241" customFormat="1" ht="15" hidden="1" customHeight="1" x14ac:dyDescent="0.25">
      <c r="A74" s="327" t="s">
        <v>204</v>
      </c>
      <c r="B74" s="468" t="s">
        <v>237</v>
      </c>
      <c r="C74" s="468">
        <v>2.8E-3</v>
      </c>
      <c r="D74" s="329">
        <v>0</v>
      </c>
      <c r="E74" s="428"/>
      <c r="F74" s="350">
        <f t="shared" ref="F74:F78" si="14">ROUND((D74*$E$25),2)</f>
        <v>0</v>
      </c>
      <c r="G74" s="351">
        <f t="shared" ref="G74:G78" si="15">E74+F74</f>
        <v>0</v>
      </c>
      <c r="H74" s="411"/>
    </row>
    <row r="75" spans="1:8" s="241" customFormat="1" ht="15" hidden="1" customHeight="1" x14ac:dyDescent="0.25">
      <c r="A75" s="327" t="s">
        <v>208</v>
      </c>
      <c r="B75" s="468" t="s">
        <v>238</v>
      </c>
      <c r="C75" s="468" t="s">
        <v>239</v>
      </c>
      <c r="D75" s="329">
        <v>0</v>
      </c>
      <c r="E75" s="428"/>
      <c r="F75" s="350">
        <f t="shared" si="14"/>
        <v>0</v>
      </c>
      <c r="G75" s="351">
        <f t="shared" si="15"/>
        <v>0</v>
      </c>
      <c r="H75" s="411"/>
    </row>
    <row r="76" spans="1:8" s="241" customFormat="1" ht="15" hidden="1" customHeight="1" x14ac:dyDescent="0.25">
      <c r="A76" s="327" t="s">
        <v>203</v>
      </c>
      <c r="B76" s="468" t="s">
        <v>240</v>
      </c>
      <c r="C76" s="468">
        <v>2.7000000000000001E-3</v>
      </c>
      <c r="D76" s="329">
        <v>0</v>
      </c>
      <c r="E76" s="428"/>
      <c r="F76" s="350">
        <f t="shared" si="14"/>
        <v>0</v>
      </c>
      <c r="G76" s="351">
        <f t="shared" si="15"/>
        <v>0</v>
      </c>
      <c r="H76" s="411"/>
    </row>
    <row r="77" spans="1:8" s="241" customFormat="1" ht="15" hidden="1" customHeight="1" x14ac:dyDescent="0.25">
      <c r="A77" s="327" t="s">
        <v>209</v>
      </c>
      <c r="B77" s="468" t="s">
        <v>241</v>
      </c>
      <c r="C77" s="468">
        <v>2.9999999999999997E-4</v>
      </c>
      <c r="D77" s="329">
        <v>0</v>
      </c>
      <c r="E77" s="428"/>
      <c r="F77" s="350">
        <f t="shared" si="14"/>
        <v>0</v>
      </c>
      <c r="G77" s="351">
        <f t="shared" si="15"/>
        <v>0</v>
      </c>
      <c r="H77" s="411"/>
    </row>
    <row r="78" spans="1:8" s="241" customFormat="1" ht="15" hidden="1" customHeight="1" x14ac:dyDescent="0.25">
      <c r="A78" s="331" t="s">
        <v>210</v>
      </c>
      <c r="B78" s="480" t="s">
        <v>261</v>
      </c>
      <c r="C78" s="481"/>
      <c r="D78" s="371">
        <v>0</v>
      </c>
      <c r="E78" s="428"/>
      <c r="F78" s="350">
        <f t="shared" si="14"/>
        <v>0</v>
      </c>
      <c r="G78" s="351">
        <f t="shared" si="15"/>
        <v>0</v>
      </c>
      <c r="H78" s="411"/>
    </row>
    <row r="79" spans="1:8" s="241" customFormat="1" ht="15" hidden="1" customHeight="1" x14ac:dyDescent="0.25">
      <c r="A79" s="331" t="s">
        <v>215</v>
      </c>
      <c r="B79" s="468" t="s">
        <v>262</v>
      </c>
      <c r="C79" s="468"/>
      <c r="D79" s="372">
        <f>SUM(D73:D78)*1.368</f>
        <v>0</v>
      </c>
      <c r="E79" s="428"/>
      <c r="F79" s="350">
        <f t="shared" ref="F79" si="16">ROUND((D79*$E$25),2)</f>
        <v>0</v>
      </c>
      <c r="G79" s="351">
        <f t="shared" ref="G79" si="17">E79+F79</f>
        <v>0</v>
      </c>
      <c r="H79" s="411"/>
    </row>
    <row r="80" spans="1:8" s="241" customFormat="1" ht="15" hidden="1" customHeight="1" x14ac:dyDescent="0.25">
      <c r="A80" s="477" t="s">
        <v>205</v>
      </c>
      <c r="B80" s="478"/>
      <c r="C80" s="478"/>
      <c r="D80" s="478"/>
      <c r="E80" s="357">
        <f>SUM(E73:E77)</f>
        <v>0</v>
      </c>
      <c r="F80" s="358">
        <f>SUM(F73:F79)</f>
        <v>0</v>
      </c>
      <c r="G80" s="360">
        <f t="shared" ref="G80" si="18">E80+F80</f>
        <v>0</v>
      </c>
      <c r="H80" s="412"/>
    </row>
    <row r="81" spans="1:8" s="241" customFormat="1" ht="15" hidden="1" customHeight="1" x14ac:dyDescent="0.25">
      <c r="A81" s="276"/>
      <c r="B81" s="326"/>
      <c r="C81" s="257"/>
      <c r="D81" s="258"/>
      <c r="E81" s="353"/>
      <c r="F81" s="353"/>
      <c r="G81" s="353"/>
      <c r="H81" s="353"/>
    </row>
    <row r="82" spans="1:8" s="241" customFormat="1" ht="15" customHeight="1" x14ac:dyDescent="0.25">
      <c r="A82" s="326" t="s">
        <v>242</v>
      </c>
      <c r="B82" s="326"/>
      <c r="C82" s="257"/>
      <c r="D82" s="258"/>
      <c r="E82" s="353"/>
      <c r="F82" s="353"/>
      <c r="G82" s="353"/>
      <c r="H82" s="353"/>
    </row>
    <row r="83" spans="1:8" s="241" customFormat="1" ht="15" hidden="1" customHeight="1" x14ac:dyDescent="0.25">
      <c r="A83" s="335" t="s">
        <v>202</v>
      </c>
      <c r="B83" s="460" t="s">
        <v>243</v>
      </c>
      <c r="C83" s="461"/>
      <c r="D83" s="462"/>
      <c r="E83" s="352">
        <v>0</v>
      </c>
      <c r="F83" s="429"/>
      <c r="G83" s="351">
        <f>E83+F83</f>
        <v>0</v>
      </c>
      <c r="H83" s="411"/>
    </row>
    <row r="84" spans="1:8" s="241" customFormat="1" ht="15" customHeight="1" x14ac:dyDescent="0.25">
      <c r="A84" s="336"/>
      <c r="B84" s="337"/>
      <c r="C84" s="337"/>
      <c r="D84" s="258"/>
      <c r="E84" s="353"/>
      <c r="F84" s="353"/>
      <c r="G84" s="353"/>
      <c r="H84" s="353"/>
    </row>
    <row r="85" spans="1:8" s="241" customFormat="1" ht="15" customHeight="1" x14ac:dyDescent="0.25">
      <c r="A85" s="488" t="s">
        <v>249</v>
      </c>
      <c r="B85" s="489"/>
      <c r="C85" s="489"/>
      <c r="D85" s="489"/>
      <c r="E85" s="357">
        <f>E80+E83</f>
        <v>0</v>
      </c>
      <c r="F85" s="358">
        <f>F80+F83</f>
        <v>0</v>
      </c>
      <c r="G85" s="356">
        <f>G80+G83</f>
        <v>0</v>
      </c>
      <c r="H85" s="410"/>
    </row>
    <row r="86" spans="1:8" s="241" customFormat="1" ht="15" customHeight="1" x14ac:dyDescent="0.25">
      <c r="A86" s="336"/>
      <c r="B86" s="337"/>
      <c r="C86" s="337"/>
      <c r="D86" s="258"/>
      <c r="E86" s="353"/>
      <c r="F86" s="353"/>
      <c r="G86" s="353"/>
      <c r="H86" s="353"/>
    </row>
    <row r="87" spans="1:8" s="241" customFormat="1" ht="15" customHeight="1" x14ac:dyDescent="0.25">
      <c r="A87" s="321" t="s">
        <v>244</v>
      </c>
      <c r="B87" s="257"/>
      <c r="C87" s="257"/>
      <c r="D87" s="258"/>
      <c r="E87" s="353"/>
      <c r="F87" s="353"/>
      <c r="G87" s="353"/>
      <c r="H87" s="353"/>
    </row>
    <row r="88" spans="1:8" s="241" customFormat="1" ht="15" customHeight="1" x14ac:dyDescent="0.25">
      <c r="A88" s="321"/>
      <c r="B88" s="257"/>
      <c r="C88" s="257"/>
      <c r="D88" s="258"/>
      <c r="E88" s="353"/>
      <c r="F88" s="353"/>
      <c r="G88" s="353"/>
      <c r="H88" s="353"/>
    </row>
    <row r="89" spans="1:8" s="241" customFormat="1" ht="15" hidden="1" customHeight="1" x14ac:dyDescent="0.25">
      <c r="A89" s="327" t="s">
        <v>202</v>
      </c>
      <c r="B89" s="463" t="s">
        <v>245</v>
      </c>
      <c r="C89" s="464"/>
      <c r="D89" s="465"/>
      <c r="E89" s="352">
        <v>0</v>
      </c>
      <c r="F89" s="429"/>
      <c r="G89" s="351">
        <f>E89+F89</f>
        <v>0</v>
      </c>
      <c r="H89" s="411"/>
    </row>
    <row r="90" spans="1:8" s="241" customFormat="1" ht="15" hidden="1" customHeight="1" x14ac:dyDescent="0.25">
      <c r="A90" s="327" t="s">
        <v>204</v>
      </c>
      <c r="B90" s="463" t="s">
        <v>246</v>
      </c>
      <c r="C90" s="464"/>
      <c r="D90" s="465"/>
      <c r="E90" s="352">
        <v>0</v>
      </c>
      <c r="F90" s="429"/>
      <c r="G90" s="351">
        <f t="shared" ref="G90:G92" si="19">E90+F90</f>
        <v>0</v>
      </c>
      <c r="H90" s="411"/>
    </row>
    <row r="91" spans="1:8" s="241" customFormat="1" ht="15" hidden="1" customHeight="1" x14ac:dyDescent="0.25">
      <c r="A91" s="327" t="s">
        <v>208</v>
      </c>
      <c r="B91" s="463" t="s">
        <v>247</v>
      </c>
      <c r="C91" s="464"/>
      <c r="D91" s="465"/>
      <c r="E91" s="352">
        <v>0</v>
      </c>
      <c r="F91" s="429"/>
      <c r="G91" s="351">
        <f t="shared" si="19"/>
        <v>0</v>
      </c>
      <c r="H91" s="411"/>
    </row>
    <row r="92" spans="1:8" s="241" customFormat="1" ht="15" hidden="1" customHeight="1" x14ac:dyDescent="0.25">
      <c r="A92" s="339" t="s">
        <v>203</v>
      </c>
      <c r="B92" s="482" t="s">
        <v>248</v>
      </c>
      <c r="C92" s="483"/>
      <c r="D92" s="484"/>
      <c r="E92" s="373">
        <v>0</v>
      </c>
      <c r="F92" s="429"/>
      <c r="G92" s="351">
        <f t="shared" si="19"/>
        <v>0</v>
      </c>
      <c r="H92" s="411"/>
    </row>
    <row r="93" spans="1:8" s="241" customFormat="1" ht="15" hidden="1" customHeight="1" x14ac:dyDescent="0.25">
      <c r="A93" s="340"/>
      <c r="B93" s="341"/>
      <c r="C93" s="341"/>
      <c r="D93" s="342"/>
      <c r="E93" s="354"/>
      <c r="F93" s="354"/>
      <c r="G93" s="354"/>
      <c r="H93" s="354"/>
    </row>
    <row r="94" spans="1:8" s="241" customFormat="1" ht="15" customHeight="1" x14ac:dyDescent="0.25">
      <c r="A94" s="488" t="s">
        <v>250</v>
      </c>
      <c r="B94" s="489"/>
      <c r="C94" s="489"/>
      <c r="D94" s="490"/>
      <c r="E94" s="357">
        <f>SUM(E89:E92)</f>
        <v>0</v>
      </c>
      <c r="F94" s="358">
        <f>SUM(F89:F92)</f>
        <v>0</v>
      </c>
      <c r="G94" s="356">
        <f>E94+F94</f>
        <v>0</v>
      </c>
      <c r="H94" s="410"/>
    </row>
    <row r="95" spans="1:8" s="241" customFormat="1" ht="15" customHeight="1" x14ac:dyDescent="0.25">
      <c r="A95" s="276"/>
      <c r="B95" s="257"/>
      <c r="C95" s="257"/>
      <c r="D95" s="338"/>
      <c r="E95" s="353"/>
      <c r="F95" s="353"/>
      <c r="G95" s="353"/>
      <c r="H95" s="354"/>
    </row>
    <row r="96" spans="1:8" s="241" customFormat="1" ht="15" customHeight="1" x14ac:dyDescent="0.25">
      <c r="A96" s="321" t="s">
        <v>251</v>
      </c>
      <c r="B96" s="257"/>
      <c r="C96" s="257"/>
      <c r="D96" s="258"/>
      <c r="E96" s="353"/>
      <c r="F96" s="353"/>
      <c r="G96" s="353"/>
      <c r="H96" s="353"/>
    </row>
    <row r="97" spans="1:8" s="241" customFormat="1" ht="15" customHeight="1" x14ac:dyDescent="0.25">
      <c r="A97" s="276"/>
      <c r="B97" s="257"/>
      <c r="C97" s="257"/>
      <c r="D97" s="338"/>
      <c r="E97" s="353"/>
      <c r="F97" s="353"/>
      <c r="G97" s="353"/>
      <c r="H97" s="353"/>
    </row>
    <row r="98" spans="1:8" s="241" customFormat="1" ht="15" customHeight="1" x14ac:dyDescent="0.25">
      <c r="A98" s="325" t="s">
        <v>202</v>
      </c>
      <c r="B98" s="491" t="s">
        <v>151</v>
      </c>
      <c r="C98" s="491"/>
      <c r="D98" s="374">
        <v>0.03</v>
      </c>
      <c r="E98" s="353"/>
      <c r="F98" s="353"/>
      <c r="G98" s="353"/>
      <c r="H98" s="353"/>
    </row>
    <row r="99" spans="1:8" s="241" customFormat="1" ht="15" customHeight="1" x14ac:dyDescent="0.25">
      <c r="A99" s="325" t="s">
        <v>204</v>
      </c>
      <c r="B99" s="491" t="s">
        <v>255</v>
      </c>
      <c r="C99" s="499"/>
      <c r="D99" s="374">
        <v>6.7900000000000002E-2</v>
      </c>
      <c r="E99" s="353"/>
      <c r="F99" s="353"/>
      <c r="G99" s="353"/>
      <c r="H99" s="353"/>
    </row>
    <row r="100" spans="1:8" s="241" customFormat="1" ht="15" customHeight="1" x14ac:dyDescent="0.25">
      <c r="A100" s="487" t="s">
        <v>208</v>
      </c>
      <c r="B100" s="485" t="s">
        <v>152</v>
      </c>
      <c r="C100" s="328" t="s">
        <v>252</v>
      </c>
      <c r="D100" s="374">
        <v>1.6500000000000001E-2</v>
      </c>
      <c r="E100" s="353"/>
      <c r="F100" s="353"/>
      <c r="G100" s="353"/>
      <c r="H100" s="353"/>
    </row>
    <row r="101" spans="1:8" s="241" customFormat="1" ht="15" customHeight="1" x14ac:dyDescent="0.25">
      <c r="A101" s="487"/>
      <c r="B101" s="486"/>
      <c r="C101" s="343" t="s">
        <v>253</v>
      </c>
      <c r="D101" s="374">
        <v>6.4999999999999997E-3</v>
      </c>
      <c r="E101" s="353"/>
      <c r="F101" s="353"/>
      <c r="G101" s="353"/>
      <c r="H101" s="353"/>
    </row>
    <row r="102" spans="1:8" s="241" customFormat="1" ht="15" customHeight="1" x14ac:dyDescent="0.25">
      <c r="A102" s="487" t="s">
        <v>203</v>
      </c>
      <c r="B102" s="485" t="s">
        <v>153</v>
      </c>
      <c r="C102" s="328" t="s">
        <v>252</v>
      </c>
      <c r="D102" s="374">
        <v>7.5999999999999998E-2</v>
      </c>
      <c r="E102" s="353"/>
      <c r="F102" s="353"/>
      <c r="G102" s="353"/>
      <c r="H102" s="353"/>
    </row>
    <row r="103" spans="1:8" s="241" customFormat="1" ht="15" customHeight="1" x14ac:dyDescent="0.25">
      <c r="A103" s="487"/>
      <c r="B103" s="486"/>
      <c r="C103" s="343" t="s">
        <v>253</v>
      </c>
      <c r="D103" s="374">
        <v>0.03</v>
      </c>
      <c r="E103" s="353"/>
      <c r="F103" s="353"/>
      <c r="G103" s="353"/>
      <c r="H103" s="353"/>
    </row>
    <row r="104" spans="1:8" s="241" customFormat="1" ht="15" customHeight="1" x14ac:dyDescent="0.25">
      <c r="A104" s="325" t="s">
        <v>209</v>
      </c>
      <c r="B104" s="451" t="s">
        <v>154</v>
      </c>
      <c r="C104" s="452"/>
      <c r="D104" s="374">
        <v>0.05</v>
      </c>
      <c r="E104" s="353"/>
      <c r="F104" s="353"/>
      <c r="G104" s="353"/>
      <c r="H104" s="353"/>
    </row>
    <row r="105" spans="1:8" s="241" customFormat="1" ht="15" customHeight="1" x14ac:dyDescent="0.25">
      <c r="A105" s="325" t="s">
        <v>210</v>
      </c>
      <c r="B105" s="453" t="s">
        <v>171</v>
      </c>
      <c r="C105" s="454"/>
      <c r="D105" s="374">
        <v>4.4999999999999998E-2</v>
      </c>
      <c r="E105" s="353"/>
      <c r="F105" s="353"/>
      <c r="G105" s="353"/>
      <c r="H105" s="353"/>
    </row>
    <row r="106" spans="1:8" s="241" customFormat="1" ht="29.25" customHeight="1" x14ac:dyDescent="0.25">
      <c r="A106" s="455" t="s">
        <v>172</v>
      </c>
      <c r="B106" s="455"/>
      <c r="C106" s="455"/>
      <c r="D106" s="455"/>
      <c r="E106" s="353"/>
      <c r="F106" s="353"/>
      <c r="G106" s="353"/>
      <c r="H106" s="353"/>
    </row>
    <row r="107" spans="1:8" s="241" customFormat="1" ht="15" customHeight="1" x14ac:dyDescent="0.25">
      <c r="A107" s="480" t="s">
        <v>252</v>
      </c>
      <c r="B107" s="537"/>
      <c r="C107" s="481"/>
      <c r="D107" s="391">
        <f>IF(D100&lt;&gt;0,((1+D98)/(1-(D100+D102+D104)-D99))-1,0)</f>
        <v>0.30445795339412363</v>
      </c>
      <c r="E107" s="355"/>
      <c r="F107" s="355"/>
      <c r="G107" s="355"/>
      <c r="H107" s="355"/>
    </row>
    <row r="108" spans="1:8" s="241" customFormat="1" ht="15" customHeight="1" x14ac:dyDescent="0.25">
      <c r="A108" s="466" t="s">
        <v>253</v>
      </c>
      <c r="B108" s="538"/>
      <c r="C108" s="467"/>
      <c r="D108" s="391">
        <f>IF(D101&lt;&gt;0,((1+D98)/(1-(D101+D103+D104)-D99))-1,0)</f>
        <v>0.21807000946073796</v>
      </c>
      <c r="E108" s="355"/>
      <c r="F108" s="355"/>
      <c r="G108" s="355"/>
      <c r="H108" s="355"/>
    </row>
    <row r="109" spans="1:8" s="241" customFormat="1" ht="15" customHeight="1" x14ac:dyDescent="0.25">
      <c r="A109" s="539" t="s">
        <v>256</v>
      </c>
      <c r="B109" s="540"/>
      <c r="C109" s="541"/>
      <c r="D109" s="391">
        <f>IF(D105&lt;&gt;0,((1+D98)/(1-D105-D99))-1,0)</f>
        <v>0.16108668695750206</v>
      </c>
      <c r="E109" s="355"/>
      <c r="F109" s="355"/>
      <c r="G109" s="355"/>
      <c r="H109" s="355"/>
    </row>
    <row r="110" spans="1:8" s="241" customFormat="1" ht="15" customHeight="1" x14ac:dyDescent="0.25">
      <c r="A110" s="276"/>
      <c r="B110" s="257"/>
      <c r="C110" s="257"/>
      <c r="D110" s="397"/>
      <c r="E110" s="353"/>
      <c r="F110" s="353"/>
      <c r="G110" s="353"/>
      <c r="H110" s="353"/>
    </row>
    <row r="111" spans="1:8" s="241" customFormat="1" ht="25.5" customHeight="1" thickBot="1" x14ac:dyDescent="0.35">
      <c r="A111" s="311" t="s">
        <v>254</v>
      </c>
      <c r="B111" s="312"/>
      <c r="C111" s="312"/>
      <c r="D111" s="313"/>
      <c r="E111" s="313"/>
      <c r="F111" s="313"/>
      <c r="G111" s="313"/>
      <c r="H111" s="313"/>
    </row>
    <row r="112" spans="1:8" s="241" customFormat="1" ht="15" customHeight="1" thickTop="1" x14ac:dyDescent="0.25">
      <c r="A112" s="344"/>
      <c r="B112" s="344"/>
      <c r="C112" s="344"/>
      <c r="D112" s="344"/>
      <c r="E112" s="344"/>
      <c r="F112" s="344"/>
      <c r="G112" s="344"/>
      <c r="H112" s="389"/>
    </row>
    <row r="113" spans="1:8" s="241" customFormat="1" ht="15" customHeight="1" x14ac:dyDescent="0.25">
      <c r="A113" s="325" t="s">
        <v>202</v>
      </c>
      <c r="B113" s="456" t="s">
        <v>196</v>
      </c>
      <c r="C113" s="457"/>
      <c r="D113" s="457"/>
      <c r="E113" s="439">
        <f>E25</f>
        <v>2024.3345454545454</v>
      </c>
      <c r="F113" s="438">
        <f>F25</f>
        <v>0</v>
      </c>
      <c r="G113" s="409">
        <f>E113+F113</f>
        <v>2024.3345454545454</v>
      </c>
      <c r="H113" s="353"/>
    </row>
    <row r="114" spans="1:8" s="241" customFormat="1" ht="15" customHeight="1" x14ac:dyDescent="0.25">
      <c r="A114" s="325" t="s">
        <v>204</v>
      </c>
      <c r="B114" s="456" t="s">
        <v>206</v>
      </c>
      <c r="C114" s="457"/>
      <c r="D114" s="457"/>
      <c r="E114" s="440">
        <f>E56</f>
        <v>1209.24</v>
      </c>
      <c r="F114" s="442">
        <f>F56</f>
        <v>314.40999999999997</v>
      </c>
      <c r="G114" s="409">
        <f t="shared" ref="G114:G117" si="20">E114+F114</f>
        <v>1523.65</v>
      </c>
      <c r="H114" s="353"/>
    </row>
    <row r="115" spans="1:8" s="241" customFormat="1" ht="15" customHeight="1" x14ac:dyDescent="0.25">
      <c r="A115" s="325" t="s">
        <v>208</v>
      </c>
      <c r="B115" s="456" t="s">
        <v>226</v>
      </c>
      <c r="C115" s="457"/>
      <c r="D115" s="457"/>
      <c r="E115" s="352">
        <f>E68</f>
        <v>0</v>
      </c>
      <c r="F115" s="441">
        <f>F68</f>
        <v>162.38</v>
      </c>
      <c r="G115" s="409">
        <f t="shared" si="20"/>
        <v>162.38</v>
      </c>
      <c r="H115" s="353"/>
    </row>
    <row r="116" spans="1:8" s="241" customFormat="1" ht="15" customHeight="1" x14ac:dyDescent="0.25">
      <c r="A116" s="325" t="s">
        <v>203</v>
      </c>
      <c r="B116" s="456" t="s">
        <v>234</v>
      </c>
      <c r="C116" s="457"/>
      <c r="D116" s="457"/>
      <c r="E116" s="352">
        <f>E85</f>
        <v>0</v>
      </c>
      <c r="F116" s="350">
        <f>F85</f>
        <v>0</v>
      </c>
      <c r="G116" s="409">
        <f t="shared" si="20"/>
        <v>0</v>
      </c>
      <c r="H116" s="355"/>
    </row>
    <row r="117" spans="1:8" s="241" customFormat="1" ht="15" customHeight="1" x14ac:dyDescent="0.25">
      <c r="A117" s="325" t="s">
        <v>209</v>
      </c>
      <c r="B117" s="456" t="s">
        <v>244</v>
      </c>
      <c r="C117" s="457"/>
      <c r="D117" s="457"/>
      <c r="E117" s="352">
        <f>E94</f>
        <v>0</v>
      </c>
      <c r="F117" s="350">
        <f>F94</f>
        <v>0</v>
      </c>
      <c r="G117" s="409">
        <f t="shared" si="20"/>
        <v>0</v>
      </c>
      <c r="H117" s="353"/>
    </row>
    <row r="118" spans="1:8" s="241" customFormat="1" ht="15" customHeight="1" x14ac:dyDescent="0.25">
      <c r="A118" s="325"/>
      <c r="B118" s="522" t="s">
        <v>263</v>
      </c>
      <c r="C118" s="523"/>
      <c r="D118" s="523"/>
      <c r="E118" s="437">
        <f>SUM(E113:E117)</f>
        <v>3233.5745454545454</v>
      </c>
      <c r="F118" s="438">
        <f>SUM(F113:F117)</f>
        <v>476.78999999999996</v>
      </c>
      <c r="G118" s="409">
        <f>SUM(G113:G117)</f>
        <v>3710.3645454545458</v>
      </c>
      <c r="H118" s="353"/>
    </row>
    <row r="119" spans="1:8" s="241" customFormat="1" ht="15" customHeight="1" x14ac:dyDescent="0.25">
      <c r="A119" s="449" t="s">
        <v>210</v>
      </c>
      <c r="B119" s="516" t="s">
        <v>251</v>
      </c>
      <c r="C119" s="517"/>
      <c r="D119" s="330" t="s">
        <v>252</v>
      </c>
      <c r="E119" s="352">
        <f>ROUND((E118*$D$107),2)</f>
        <v>984.49</v>
      </c>
      <c r="F119" s="350">
        <f>ROUND((F118*$D$107),2)</f>
        <v>145.16</v>
      </c>
      <c r="G119" s="409">
        <f>E119+F119</f>
        <v>1129.6500000000001</v>
      </c>
      <c r="H119" s="353"/>
    </row>
    <row r="120" spans="1:8" s="241" customFormat="1" ht="15" customHeight="1" x14ac:dyDescent="0.25">
      <c r="A120" s="450"/>
      <c r="B120" s="518"/>
      <c r="C120" s="519"/>
      <c r="D120" s="368" t="s">
        <v>253</v>
      </c>
      <c r="E120" s="352">
        <f>ROUND((E118*$D$108),2)</f>
        <v>705.15</v>
      </c>
      <c r="F120" s="350">
        <f>ROUND((F118*$D$108),2)</f>
        <v>103.97</v>
      </c>
      <c r="G120" s="409">
        <f t="shared" ref="G120:G121" si="21">E120+F120</f>
        <v>809.12</v>
      </c>
      <c r="H120" s="355"/>
    </row>
    <row r="121" spans="1:8" s="241" customFormat="1" ht="15" customHeight="1" x14ac:dyDescent="0.25">
      <c r="A121" s="450"/>
      <c r="B121" s="520"/>
      <c r="C121" s="521"/>
      <c r="D121" s="348" t="s">
        <v>256</v>
      </c>
      <c r="E121" s="352">
        <f>ROUND((E118*$D$109),2)</f>
        <v>520.89</v>
      </c>
      <c r="F121" s="350">
        <f>ROUND((F118*$D$109),2)</f>
        <v>76.8</v>
      </c>
      <c r="G121" s="409">
        <f t="shared" si="21"/>
        <v>597.68999999999994</v>
      </c>
      <c r="H121" s="353"/>
    </row>
    <row r="122" spans="1:8" s="241" customFormat="1" ht="15" customHeight="1" x14ac:dyDescent="0.25">
      <c r="A122" s="340"/>
      <c r="B122" s="347"/>
      <c r="C122" s="347"/>
      <c r="D122" s="347"/>
      <c r="E122" s="344"/>
      <c r="F122" s="344"/>
      <c r="G122" s="344"/>
      <c r="H122" s="353"/>
    </row>
    <row r="123" spans="1:8" s="241" customFormat="1" ht="30" customHeight="1" x14ac:dyDescent="0.25">
      <c r="A123" s="345"/>
      <c r="B123" s="346"/>
      <c r="C123" s="346"/>
      <c r="D123" s="346"/>
      <c r="E123" s="369" t="s">
        <v>260</v>
      </c>
      <c r="F123" s="370" t="s">
        <v>259</v>
      </c>
      <c r="G123" s="378" t="s">
        <v>258</v>
      </c>
      <c r="H123" s="353"/>
    </row>
    <row r="124" spans="1:8" s="241" customFormat="1" ht="15" customHeight="1" x14ac:dyDescent="0.25">
      <c r="A124" s="542" t="s">
        <v>257</v>
      </c>
      <c r="B124" s="542"/>
      <c r="C124" s="542"/>
      <c r="D124" s="375" t="s">
        <v>252</v>
      </c>
      <c r="E124" s="357">
        <f>ROUND((E118+E119),2)</f>
        <v>4218.0600000000004</v>
      </c>
      <c r="F124" s="358">
        <f>ROUND((F118+F119),2)</f>
        <v>621.95000000000005</v>
      </c>
      <c r="G124" s="410">
        <f>E124+F124</f>
        <v>4840.01</v>
      </c>
      <c r="H124" s="355"/>
    </row>
    <row r="125" spans="1:8" s="241" customFormat="1" ht="15" customHeight="1" x14ac:dyDescent="0.25">
      <c r="A125" s="543"/>
      <c r="B125" s="543"/>
      <c r="C125" s="543"/>
      <c r="D125" s="376" t="s">
        <v>253</v>
      </c>
      <c r="E125" s="357">
        <f>ROUND((E118+E120),2)</f>
        <v>3938.72</v>
      </c>
      <c r="F125" s="358">
        <f>ROUND((F118+F120),2)</f>
        <v>580.76</v>
      </c>
      <c r="G125" s="410">
        <f>E125+F125</f>
        <v>4519.4799999999996</v>
      </c>
      <c r="H125" s="353"/>
    </row>
    <row r="126" spans="1:8" s="241" customFormat="1" ht="15" customHeight="1" x14ac:dyDescent="0.25">
      <c r="A126" s="544"/>
      <c r="B126" s="544"/>
      <c r="C126" s="544"/>
      <c r="D126" s="375" t="s">
        <v>256</v>
      </c>
      <c r="E126" s="357">
        <f>ROUND((E118+E121),2)</f>
        <v>3754.46</v>
      </c>
      <c r="F126" s="358">
        <f>ROUND((F118+F121),2)</f>
        <v>553.59</v>
      </c>
      <c r="G126" s="410">
        <f>E126+F126</f>
        <v>4308.05</v>
      </c>
      <c r="H126" s="353"/>
    </row>
    <row r="127" spans="1:8" s="241" customFormat="1" ht="30" customHeight="1" x14ac:dyDescent="0.25">
      <c r="A127" s="388"/>
      <c r="B127" s="388"/>
      <c r="C127" s="388"/>
      <c r="D127" s="337"/>
      <c r="E127" s="337"/>
      <c r="F127" s="337"/>
      <c r="G127" s="337"/>
      <c r="H127" s="353"/>
    </row>
    <row r="128" spans="1:8" s="241" customFormat="1" ht="15" customHeight="1" x14ac:dyDescent="0.25">
      <c r="A128" s="388"/>
      <c r="B128" s="388"/>
      <c r="C128" s="388"/>
      <c r="D128" s="424" t="s">
        <v>289</v>
      </c>
      <c r="E128" s="513" t="s">
        <v>323</v>
      </c>
      <c r="F128" s="514"/>
      <c r="G128" s="514"/>
      <c r="H128" s="515"/>
    </row>
    <row r="129" spans="1:9" s="241" customFormat="1" ht="15" customHeight="1" x14ac:dyDescent="0.25">
      <c r="A129" s="388"/>
      <c r="B129" s="388"/>
      <c r="C129" s="388"/>
      <c r="D129" s="424" t="s">
        <v>290</v>
      </c>
      <c r="E129" s="513" t="s">
        <v>324</v>
      </c>
      <c r="F129" s="514"/>
      <c r="G129" s="514"/>
      <c r="H129" s="515"/>
    </row>
    <row r="130" spans="1:9" s="241" customFormat="1" ht="25.5" customHeight="1" thickBot="1" x14ac:dyDescent="0.35">
      <c r="A130" s="311" t="s">
        <v>189</v>
      </c>
      <c r="B130" s="312"/>
      <c r="C130" s="312"/>
      <c r="D130" s="313"/>
      <c r="E130" s="313"/>
      <c r="F130" s="313"/>
      <c r="G130" s="313"/>
      <c r="H130" s="313"/>
    </row>
    <row r="131" spans="1:9" s="241" customFormat="1" ht="15" customHeight="1" thickTop="1" x14ac:dyDescent="0.3">
      <c r="A131" s="314"/>
      <c r="B131" s="315"/>
      <c r="C131" s="315"/>
      <c r="D131" s="316"/>
      <c r="E131" s="316"/>
      <c r="F131" s="316"/>
      <c r="G131" s="316"/>
      <c r="H131" s="316"/>
    </row>
    <row r="132" spans="1:9" s="241" customFormat="1" ht="25.5" customHeight="1" x14ac:dyDescent="0.25">
      <c r="A132" s="252"/>
      <c r="B132" s="257"/>
      <c r="C132" s="379"/>
      <c r="D132" s="378" t="s">
        <v>258</v>
      </c>
      <c r="E132" s="378" t="s">
        <v>190</v>
      </c>
      <c r="F132" s="378" t="s">
        <v>193</v>
      </c>
      <c r="G132" s="380" t="s">
        <v>191</v>
      </c>
      <c r="H132" s="353"/>
    </row>
    <row r="133" spans="1:9" s="241" customFormat="1" ht="15" customHeight="1" x14ac:dyDescent="0.25">
      <c r="A133" s="545">
        <v>1</v>
      </c>
      <c r="B133" s="546" t="s">
        <v>326</v>
      </c>
      <c r="C133" s="377" t="s">
        <v>252</v>
      </c>
      <c r="D133" s="318">
        <f>G124</f>
        <v>4840.01</v>
      </c>
      <c r="E133" s="547">
        <v>1</v>
      </c>
      <c r="F133" s="506">
        <v>30</v>
      </c>
      <c r="G133" s="382">
        <f>D133*E133*F133</f>
        <v>145200.30000000002</v>
      </c>
      <c r="H133" s="353"/>
    </row>
    <row r="134" spans="1:9" s="241" customFormat="1" ht="15" customHeight="1" x14ac:dyDescent="0.25">
      <c r="A134" s="545"/>
      <c r="B134" s="546"/>
      <c r="C134" s="381" t="s">
        <v>253</v>
      </c>
      <c r="D134" s="383">
        <f t="shared" ref="D134:D135" si="22">G125</f>
        <v>4519.4799999999996</v>
      </c>
      <c r="E134" s="547"/>
      <c r="F134" s="506"/>
      <c r="G134" s="384">
        <f>D134*E133*F133</f>
        <v>135584.4</v>
      </c>
      <c r="H134" s="353"/>
    </row>
    <row r="135" spans="1:9" s="241" customFormat="1" ht="15" customHeight="1" x14ac:dyDescent="0.25">
      <c r="A135" s="545"/>
      <c r="B135" s="546"/>
      <c r="C135" s="377" t="s">
        <v>256</v>
      </c>
      <c r="D135" s="318">
        <f t="shared" si="22"/>
        <v>4308.05</v>
      </c>
      <c r="E135" s="547"/>
      <c r="F135" s="506"/>
      <c r="G135" s="382">
        <f>D135*E133*F133</f>
        <v>129241.5</v>
      </c>
      <c r="H135" s="355"/>
    </row>
    <row r="136" spans="1:9" s="241" customFormat="1" ht="15" customHeight="1" x14ac:dyDescent="0.25">
      <c r="A136" s="252"/>
      <c r="B136" s="257"/>
      <c r="C136" s="257"/>
      <c r="D136" s="258"/>
      <c r="E136" s="258"/>
      <c r="F136" s="258"/>
      <c r="G136" s="258"/>
      <c r="H136" s="353"/>
    </row>
    <row r="137" spans="1:9" s="241" customFormat="1" ht="25.5" customHeight="1" thickBot="1" x14ac:dyDescent="0.35">
      <c r="A137" s="311" t="s">
        <v>194</v>
      </c>
      <c r="B137" s="312"/>
      <c r="C137" s="312"/>
      <c r="D137" s="313"/>
      <c r="E137" s="313"/>
      <c r="F137" s="313"/>
      <c r="G137" s="313"/>
      <c r="H137" s="313"/>
      <c r="I137" s="317"/>
    </row>
    <row r="138" spans="1:9" s="241" customFormat="1" ht="12.75" customHeight="1" thickTop="1" x14ac:dyDescent="0.3">
      <c r="A138" s="314"/>
      <c r="B138" s="315"/>
      <c r="C138" s="315"/>
      <c r="D138" s="316"/>
      <c r="E138" s="316"/>
      <c r="F138" s="316"/>
      <c r="G138" s="316"/>
      <c r="H138" s="316"/>
    </row>
    <row r="139" spans="1:9" s="242" customFormat="1" ht="15" customHeight="1" x14ac:dyDescent="0.25">
      <c r="A139" s="253"/>
      <c r="B139" s="505" t="s">
        <v>322</v>
      </c>
      <c r="C139" s="505"/>
      <c r="D139" s="505"/>
      <c r="E139" s="505"/>
      <c r="F139" s="505"/>
      <c r="G139" s="505"/>
      <c r="H139" s="387"/>
    </row>
    <row r="140" spans="1:9" ht="15" customHeight="1" x14ac:dyDescent="0.2">
      <c r="A140" s="254"/>
      <c r="B140" s="505" t="s">
        <v>184</v>
      </c>
      <c r="C140" s="505"/>
      <c r="D140" s="505"/>
      <c r="E140" s="505"/>
      <c r="F140" s="505"/>
      <c r="G140" s="505"/>
      <c r="H140" s="387"/>
    </row>
    <row r="141" spans="1:9" ht="15" customHeight="1" x14ac:dyDescent="0.2">
      <c r="A141" s="254"/>
      <c r="B141" s="505" t="s">
        <v>186</v>
      </c>
      <c r="C141" s="505"/>
      <c r="D141" s="505"/>
      <c r="E141" s="505"/>
      <c r="F141" s="505"/>
      <c r="G141" s="505"/>
      <c r="H141" s="387"/>
    </row>
    <row r="142" spans="1:9" ht="15" customHeight="1" x14ac:dyDescent="0.2">
      <c r="A142" s="254"/>
      <c r="B142" s="505" t="s">
        <v>312</v>
      </c>
      <c r="C142" s="505"/>
      <c r="D142" s="505"/>
      <c r="E142" s="505"/>
      <c r="F142" s="505"/>
      <c r="G142" s="505"/>
      <c r="H142" s="387"/>
    </row>
    <row r="143" spans="1:9" ht="15" customHeight="1" x14ac:dyDescent="0.2">
      <c r="A143" s="254"/>
      <c r="B143" s="505" t="s">
        <v>185</v>
      </c>
      <c r="C143" s="505"/>
      <c r="D143" s="505"/>
      <c r="E143" s="505"/>
      <c r="F143" s="505"/>
      <c r="G143" s="505"/>
      <c r="H143" s="387"/>
    </row>
    <row r="144" spans="1:9" ht="15" customHeight="1" x14ac:dyDescent="0.2">
      <c r="A144" s="254"/>
      <c r="B144" s="505" t="s">
        <v>155</v>
      </c>
      <c r="C144" s="505"/>
      <c r="D144" s="505"/>
      <c r="E144" s="505"/>
      <c r="F144" s="505"/>
      <c r="G144" s="505"/>
      <c r="H144" s="387"/>
    </row>
    <row r="145" spans="1:8" ht="15" customHeight="1" x14ac:dyDescent="0.2">
      <c r="A145" s="254"/>
      <c r="B145" s="262"/>
      <c r="C145" s="320"/>
      <c r="D145" s="262"/>
      <c r="E145" s="262"/>
      <c r="F145" s="319"/>
      <c r="G145" s="262"/>
      <c r="H145" s="387"/>
    </row>
    <row r="146" spans="1:8" ht="15" customHeight="1" x14ac:dyDescent="0.2">
      <c r="A146" s="254"/>
      <c r="B146" s="259" t="s">
        <v>143</v>
      </c>
      <c r="C146" s="244"/>
      <c r="D146" s="255"/>
      <c r="E146" s="255"/>
      <c r="F146" s="255"/>
      <c r="G146" s="255"/>
      <c r="H146" s="255"/>
    </row>
  </sheetData>
  <sheetProtection password="9637" sheet="1" objects="1" scenarios="1" selectLockedCells="1"/>
  <mergeCells count="103">
    <mergeCell ref="A1:H1"/>
    <mergeCell ref="A2:H2"/>
    <mergeCell ref="A3:H3"/>
    <mergeCell ref="H46:H47"/>
    <mergeCell ref="H48:H49"/>
    <mergeCell ref="E13:G13"/>
    <mergeCell ref="B142:G142"/>
    <mergeCell ref="B140:G140"/>
    <mergeCell ref="B141:G141"/>
    <mergeCell ref="E12:G12"/>
    <mergeCell ref="B66:C66"/>
    <mergeCell ref="B79:C79"/>
    <mergeCell ref="B78:C78"/>
    <mergeCell ref="A107:C107"/>
    <mergeCell ref="A108:C108"/>
    <mergeCell ref="A109:C109"/>
    <mergeCell ref="A124:C126"/>
    <mergeCell ref="A133:A135"/>
    <mergeCell ref="B133:B135"/>
    <mergeCell ref="E133:E135"/>
    <mergeCell ref="B30:C30"/>
    <mergeCell ref="E46:E47"/>
    <mergeCell ref="F46:F47"/>
    <mergeCell ref="B41:C41"/>
    <mergeCell ref="B144:G144"/>
    <mergeCell ref="B143:G143"/>
    <mergeCell ref="B139:G139"/>
    <mergeCell ref="F133:F135"/>
    <mergeCell ref="G46:G47"/>
    <mergeCell ref="B50:C50"/>
    <mergeCell ref="E48:E49"/>
    <mergeCell ref="F48:F49"/>
    <mergeCell ref="G48:G49"/>
    <mergeCell ref="B48:B49"/>
    <mergeCell ref="B46:B47"/>
    <mergeCell ref="B60:C60"/>
    <mergeCell ref="A56:D56"/>
    <mergeCell ref="E128:H128"/>
    <mergeCell ref="B119:C121"/>
    <mergeCell ref="B118:D118"/>
    <mergeCell ref="B117:D117"/>
    <mergeCell ref="B113:D113"/>
    <mergeCell ref="B114:D114"/>
    <mergeCell ref="B115:D115"/>
    <mergeCell ref="E129:H129"/>
    <mergeCell ref="A54:D54"/>
    <mergeCell ref="A46:A47"/>
    <mergeCell ref="A48:A49"/>
    <mergeCell ref="B51:C51"/>
    <mergeCell ref="B52:C52"/>
    <mergeCell ref="B53:C53"/>
    <mergeCell ref="B42:C42"/>
    <mergeCell ref="B22:C22"/>
    <mergeCell ref="B40:C40"/>
    <mergeCell ref="A12:D12"/>
    <mergeCell ref="A13:D13"/>
    <mergeCell ref="B99:C99"/>
    <mergeCell ref="B19:C19"/>
    <mergeCell ref="B20:C20"/>
    <mergeCell ref="B21:C21"/>
    <mergeCell ref="B31:C31"/>
    <mergeCell ref="B23:D23"/>
    <mergeCell ref="B36:C36"/>
    <mergeCell ref="B37:C37"/>
    <mergeCell ref="B38:C38"/>
    <mergeCell ref="B39:C39"/>
    <mergeCell ref="A33:D33"/>
    <mergeCell ref="B100:B101"/>
    <mergeCell ref="B102:B103"/>
    <mergeCell ref="A100:A101"/>
    <mergeCell ref="A102:A103"/>
    <mergeCell ref="A94:D94"/>
    <mergeCell ref="B98:C98"/>
    <mergeCell ref="A85:D85"/>
    <mergeCell ref="A80:D80"/>
    <mergeCell ref="A68:D68"/>
    <mergeCell ref="B74:C74"/>
    <mergeCell ref="B75:C75"/>
    <mergeCell ref="B76:C76"/>
    <mergeCell ref="A9:H9"/>
    <mergeCell ref="A10:H10"/>
    <mergeCell ref="A119:A121"/>
    <mergeCell ref="B104:C104"/>
    <mergeCell ref="B105:C105"/>
    <mergeCell ref="A106:D106"/>
    <mergeCell ref="B116:D116"/>
    <mergeCell ref="B18:D18"/>
    <mergeCell ref="B83:D83"/>
    <mergeCell ref="B89:D89"/>
    <mergeCell ref="B90:D90"/>
    <mergeCell ref="B91:D91"/>
    <mergeCell ref="B65:C65"/>
    <mergeCell ref="B77:C77"/>
    <mergeCell ref="B73:C73"/>
    <mergeCell ref="B61:C61"/>
    <mergeCell ref="B62:C62"/>
    <mergeCell ref="B63:C63"/>
    <mergeCell ref="B64:C64"/>
    <mergeCell ref="A32:C32"/>
    <mergeCell ref="A25:D25"/>
    <mergeCell ref="A43:C43"/>
    <mergeCell ref="B35:C35"/>
    <mergeCell ref="B92:D92"/>
  </mergeCells>
  <printOptions horizontalCentered="1"/>
  <pageMargins left="0.19685039370078741" right="0.19685039370078741" top="0.70866141732283472" bottom="0.39370078740157483" header="0.19685039370078741" footer="7.874015748031496E-2"/>
  <pageSetup paperSize="9" scale="52" orientation="portrait" horizontalDpi="4294967292" r:id="rId1"/>
  <headerFooter>
    <oddHeader>&amp;C&amp;G&amp;R&amp;8&amp;P</oddHeader>
    <oddFooter>&amp;L&amp;G
&amp;"Arial,Negrito"&amp;8&amp;K00-033SGEC/COC/SECOFC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7"/>
  <sheetViews>
    <sheetView view="pageBreakPreview" topLeftCell="A56" zoomScaleNormal="100" zoomScaleSheetLayoutView="100" workbookViewId="0">
      <selection activeCell="H56" sqref="H56"/>
    </sheetView>
  </sheetViews>
  <sheetFormatPr defaultRowHeight="12.75" x14ac:dyDescent="0.2"/>
  <cols>
    <col min="1" max="1" width="58.85546875" customWidth="1"/>
    <col min="2" max="2" width="10.7109375" customWidth="1"/>
    <col min="3" max="4" width="17.7109375" customWidth="1"/>
    <col min="8" max="8" width="11" bestFit="1" customWidth="1"/>
  </cols>
  <sheetData>
    <row r="1" spans="1:4" ht="18" x14ac:dyDescent="0.25">
      <c r="A1" s="567" t="str">
        <f>'VALOR DO POSTO - ESTIMATIVA'!A1:G1</f>
        <v>TRIBUNAL REGIONAL ELEITORAL DO PARANÁ</v>
      </c>
      <c r="B1" s="567"/>
      <c r="C1" s="567"/>
      <c r="D1" s="567"/>
    </row>
    <row r="2" spans="1:4" x14ac:dyDescent="0.2">
      <c r="A2" s="568" t="str">
        <f>'VALOR DO POSTO - ESTIMATIVA'!A2:G2</f>
        <v>PLANILHA DE CUSTOS E FORMAÇÃO DE PREÇOS - PAGAMENTO PELO FATO GERADOR - ESTIMATIVA TRE/PR</v>
      </c>
      <c r="B2" s="568"/>
      <c r="C2" s="568"/>
      <c r="D2" s="568"/>
    </row>
    <row r="3" spans="1:4" x14ac:dyDescent="0.2">
      <c r="A3" s="569" t="str">
        <f>'VALOR DO POSTO - ESTIMATIVA'!A3:G3</f>
        <v>Posto de Trabalho - Tecnólogo em Desing Gráfico</v>
      </c>
      <c r="B3" s="569"/>
      <c r="C3" s="569"/>
      <c r="D3" s="569"/>
    </row>
    <row r="4" spans="1:4" ht="15" customHeight="1" x14ac:dyDescent="0.2">
      <c r="A4" s="255"/>
      <c r="B4" s="250"/>
      <c r="C4" s="249"/>
      <c r="D4" s="415"/>
    </row>
    <row r="5" spans="1:4" ht="15" customHeight="1" x14ac:dyDescent="0.2">
      <c r="A5" s="570" t="str">
        <f>'VALOR DO POSTO - ESTIMATIVA'!A9:G9</f>
        <v>NOME DA EMPRESA</v>
      </c>
      <c r="B5" s="571"/>
      <c r="C5" s="571"/>
      <c r="D5" s="572"/>
    </row>
    <row r="6" spans="1:4" ht="15" customHeight="1" x14ac:dyDescent="0.2">
      <c r="A6" s="573" t="str">
        <f>'VALOR DO POSTO - ESTIMATIVA'!A10:G10</f>
        <v>CNPJ</v>
      </c>
      <c r="B6" s="574"/>
      <c r="C6" s="574"/>
      <c r="D6" s="575"/>
    </row>
    <row r="7" spans="1:4" ht="15" customHeight="1" x14ac:dyDescent="0.2">
      <c r="A7" s="244"/>
      <c r="B7" s="244"/>
      <c r="C7" s="244"/>
      <c r="D7" s="415"/>
    </row>
    <row r="8" spans="1:4" ht="17.45" customHeight="1" thickBot="1" x14ac:dyDescent="0.35">
      <c r="A8" s="420" t="s">
        <v>292</v>
      </c>
      <c r="B8" s="420"/>
      <c r="C8" s="420"/>
      <c r="D8" s="420"/>
    </row>
    <row r="9" spans="1:4" ht="15" customHeight="1" thickTop="1" x14ac:dyDescent="0.2">
      <c r="A9" s="244"/>
      <c r="B9" s="244"/>
      <c r="C9" s="244"/>
      <c r="D9" s="415"/>
    </row>
    <row r="10" spans="1:4" ht="15" customHeight="1" x14ac:dyDescent="0.2">
      <c r="A10" s="548" t="s">
        <v>265</v>
      </c>
      <c r="B10" s="548"/>
      <c r="C10" s="398">
        <f>'VALOR DO POSTO - ESTIMATIVA'!$E$25</f>
        <v>2024.3345454545454</v>
      </c>
      <c r="D10" s="415"/>
    </row>
    <row r="11" spans="1:4" ht="15" customHeight="1" x14ac:dyDescent="0.2">
      <c r="A11" s="425" t="s">
        <v>267</v>
      </c>
      <c r="B11" s="404">
        <f>'VALOR DO POSTO - ESTIMATIVA'!$D$43</f>
        <v>0.39800000000000008</v>
      </c>
      <c r="C11" s="398">
        <f>C10*B11</f>
        <v>805.68514909090925</v>
      </c>
      <c r="D11" s="415"/>
    </row>
    <row r="12" spans="1:4" ht="15" customHeight="1" x14ac:dyDescent="0.2">
      <c r="A12" s="549" t="s">
        <v>79</v>
      </c>
      <c r="B12" s="549"/>
      <c r="C12" s="399">
        <f>C10+C11</f>
        <v>2830.0196945454545</v>
      </c>
      <c r="D12" s="415"/>
    </row>
    <row r="13" spans="1:4" ht="15" customHeight="1" x14ac:dyDescent="0.2">
      <c r="A13" s="425" t="s">
        <v>270</v>
      </c>
      <c r="B13" s="404">
        <f>LARGE('VALOR DO POSTO - ESTIMATIVA'!$D$107:$D$109,1)</f>
        <v>0.30445795339412363</v>
      </c>
      <c r="C13" s="398">
        <f>B13*C12</f>
        <v>861.62200426637196</v>
      </c>
      <c r="D13" s="415"/>
    </row>
    <row r="14" spans="1:4" ht="15" customHeight="1" x14ac:dyDescent="0.2">
      <c r="A14" s="550" t="s">
        <v>269</v>
      </c>
      <c r="B14" s="551"/>
      <c r="C14" s="399">
        <f>C13+C12</f>
        <v>3691.6416988118262</v>
      </c>
      <c r="D14" s="415"/>
    </row>
    <row r="15" spans="1:4" ht="15" customHeight="1" x14ac:dyDescent="0.2">
      <c r="A15" s="244"/>
      <c r="B15" s="244"/>
      <c r="C15" s="244"/>
      <c r="D15" s="415"/>
    </row>
    <row r="16" spans="1:4" ht="15" customHeight="1" x14ac:dyDescent="0.2">
      <c r="A16" s="552" t="s">
        <v>293</v>
      </c>
      <c r="B16" s="552"/>
      <c r="C16" s="406">
        <f>C14/30</f>
        <v>123.05472329372755</v>
      </c>
      <c r="D16" s="415"/>
    </row>
    <row r="17" spans="1:4" ht="15" customHeight="1" x14ac:dyDescent="0.2">
      <c r="A17" s="244"/>
      <c r="B17" s="244"/>
      <c r="C17" s="244"/>
      <c r="D17" s="415"/>
    </row>
    <row r="18" spans="1:4" ht="17.45" hidden="1" customHeight="1" thickBot="1" x14ac:dyDescent="0.35">
      <c r="A18" s="420" t="s">
        <v>264</v>
      </c>
      <c r="B18" s="420"/>
      <c r="C18" s="420"/>
      <c r="D18" s="420"/>
    </row>
    <row r="19" spans="1:4" ht="15" hidden="1" customHeight="1" thickTop="1" x14ac:dyDescent="0.2">
      <c r="A19" s="244"/>
      <c r="B19" s="392"/>
      <c r="C19" s="392"/>
      <c r="D19" s="415"/>
    </row>
    <row r="20" spans="1:4" ht="15" hidden="1" customHeight="1" x14ac:dyDescent="0.2">
      <c r="A20" s="554" t="s">
        <v>271</v>
      </c>
      <c r="B20" s="554"/>
      <c r="C20" s="554"/>
      <c r="D20" s="415"/>
    </row>
    <row r="21" spans="1:4" ht="15" hidden="1" customHeight="1" x14ac:dyDescent="0.2">
      <c r="A21" s="548" t="s">
        <v>265</v>
      </c>
      <c r="B21" s="548"/>
      <c r="C21" s="398">
        <f>'VALOR DO POSTO - ESTIMATIVA'!$E$25</f>
        <v>2024.3345454545454</v>
      </c>
      <c r="D21" s="415"/>
    </row>
    <row r="22" spans="1:4" ht="15" hidden="1" customHeight="1" x14ac:dyDescent="0.2">
      <c r="A22" s="548" t="s">
        <v>266</v>
      </c>
      <c r="B22" s="548"/>
      <c r="C22" s="398">
        <f>'VALOR DO POSTO - ESTIMATIVA'!$F$30</f>
        <v>168.63</v>
      </c>
      <c r="D22" s="415"/>
    </row>
    <row r="23" spans="1:4" ht="15" hidden="1" customHeight="1" x14ac:dyDescent="0.2">
      <c r="A23" s="555" t="s">
        <v>268</v>
      </c>
      <c r="B23" s="555"/>
      <c r="C23" s="398">
        <f>'VALOR DO POSTO - ESTIMATIVA'!$F$31</f>
        <v>56.28</v>
      </c>
      <c r="D23" s="415"/>
    </row>
    <row r="24" spans="1:4" ht="15" hidden="1" customHeight="1" x14ac:dyDescent="0.2">
      <c r="A24" s="556" t="s">
        <v>79</v>
      </c>
      <c r="B24" s="556"/>
      <c r="C24" s="405">
        <f>SUM(C21:C23)</f>
        <v>2249.2445454545455</v>
      </c>
      <c r="D24" s="415"/>
    </row>
    <row r="25" spans="1:4" ht="15" hidden="1" customHeight="1" x14ac:dyDescent="0.2">
      <c r="A25" s="400" t="s">
        <v>267</v>
      </c>
      <c r="B25" s="404">
        <f>'VALOR DO POSTO - ESTIMATIVA'!$D$43</f>
        <v>0.39800000000000008</v>
      </c>
      <c r="C25" s="398">
        <f>C24*B25</f>
        <v>895.19932909090926</v>
      </c>
      <c r="D25" s="415"/>
    </row>
    <row r="26" spans="1:4" ht="15" hidden="1" customHeight="1" x14ac:dyDescent="0.2">
      <c r="A26" s="553" t="s">
        <v>79</v>
      </c>
      <c r="B26" s="553"/>
      <c r="C26" s="405">
        <f>C24+C25</f>
        <v>3144.4438745454545</v>
      </c>
      <c r="D26" s="415"/>
    </row>
    <row r="27" spans="1:4" ht="15" hidden="1" customHeight="1" x14ac:dyDescent="0.2">
      <c r="A27" s="400" t="s">
        <v>270</v>
      </c>
      <c r="B27" s="404">
        <f>LARGE('VALOR DO POSTO - ESTIMATIVA'!$D$107:$D$109,1)</f>
        <v>0.30445795339412363</v>
      </c>
      <c r="C27" s="398">
        <f>B27*C26</f>
        <v>957.35094660679749</v>
      </c>
      <c r="D27" s="415"/>
    </row>
    <row r="28" spans="1:4" ht="15" hidden="1" customHeight="1" x14ac:dyDescent="0.2">
      <c r="A28" s="550" t="s">
        <v>269</v>
      </c>
      <c r="B28" s="551"/>
      <c r="C28" s="399">
        <f>C27+C26</f>
        <v>4101.7948211522516</v>
      </c>
      <c r="D28" s="415"/>
    </row>
    <row r="29" spans="1:4" ht="15" hidden="1" customHeight="1" x14ac:dyDescent="0.2">
      <c r="A29" s="401"/>
      <c r="B29" s="402"/>
      <c r="C29" s="403"/>
      <c r="D29" s="415"/>
    </row>
    <row r="30" spans="1:4" ht="15" hidden="1" customHeight="1" x14ac:dyDescent="0.2">
      <c r="A30" s="552" t="s">
        <v>272</v>
      </c>
      <c r="B30" s="552"/>
      <c r="C30" s="406">
        <f>C28/30</f>
        <v>136.72649403840839</v>
      </c>
      <c r="D30" s="415"/>
    </row>
    <row r="31" spans="1:4" ht="15" hidden="1" customHeight="1" x14ac:dyDescent="0.25">
      <c r="A31" s="563"/>
      <c r="B31" s="563"/>
      <c r="C31" s="563"/>
      <c r="D31" s="415"/>
    </row>
    <row r="32" spans="1:4" ht="17.45" customHeight="1" thickBot="1" x14ac:dyDescent="0.35">
      <c r="A32" s="420" t="s">
        <v>273</v>
      </c>
      <c r="B32" s="420"/>
      <c r="C32" s="420"/>
      <c r="D32" s="420"/>
    </row>
    <row r="33" spans="1:8" ht="15" customHeight="1" thickTop="1" x14ac:dyDescent="0.2">
      <c r="A33" s="401"/>
      <c r="B33" s="402"/>
      <c r="C33" s="403"/>
      <c r="D33" s="415"/>
      <c r="H33" s="422"/>
    </row>
    <row r="34" spans="1:8" ht="15" customHeight="1" x14ac:dyDescent="0.2">
      <c r="A34" s="548" t="s">
        <v>265</v>
      </c>
      <c r="B34" s="548"/>
      <c r="C34" s="398">
        <f>'VALOR DO POSTO - ESTIMATIVA'!$E$25</f>
        <v>2024.3345454545454</v>
      </c>
      <c r="D34" s="415"/>
    </row>
    <row r="35" spans="1:8" ht="15" customHeight="1" x14ac:dyDescent="0.2">
      <c r="A35" s="400" t="s">
        <v>267</v>
      </c>
      <c r="B35" s="404">
        <f>'VALOR DO POSTO - ESTIMATIVA'!$D$43</f>
        <v>0.39800000000000008</v>
      </c>
      <c r="C35" s="398">
        <f>C34*B35</f>
        <v>805.68514909090925</v>
      </c>
      <c r="D35" s="415"/>
    </row>
    <row r="36" spans="1:8" ht="15" customHeight="1" x14ac:dyDescent="0.2">
      <c r="A36" s="549" t="s">
        <v>79</v>
      </c>
      <c r="B36" s="549"/>
      <c r="C36" s="399">
        <f>C34+C35</f>
        <v>2830.0196945454545</v>
      </c>
      <c r="D36" s="415"/>
    </row>
    <row r="37" spans="1:8" ht="15" customHeight="1" x14ac:dyDescent="0.2">
      <c r="A37" s="400" t="s">
        <v>270</v>
      </c>
      <c r="B37" s="404">
        <f>LARGE('VALOR DO POSTO - ESTIMATIVA'!$D$107:$D$109,1)</f>
        <v>0.30445795339412363</v>
      </c>
      <c r="C37" s="398">
        <f>B37*C36</f>
        <v>861.62200426637196</v>
      </c>
      <c r="D37" s="415"/>
    </row>
    <row r="38" spans="1:8" ht="15" customHeight="1" x14ac:dyDescent="0.2">
      <c r="A38" s="550" t="s">
        <v>269</v>
      </c>
      <c r="B38" s="551"/>
      <c r="C38" s="399">
        <f>C37+C36</f>
        <v>3691.6416988118262</v>
      </c>
      <c r="D38" s="415"/>
    </row>
    <row r="39" spans="1:8" ht="15" customHeight="1" x14ac:dyDescent="0.3">
      <c r="A39" s="559"/>
      <c r="B39" s="559"/>
      <c r="C39" s="559"/>
      <c r="D39" s="415"/>
    </row>
    <row r="40" spans="1:8" ht="15" customHeight="1" x14ac:dyDescent="0.2">
      <c r="A40" s="552" t="s">
        <v>274</v>
      </c>
      <c r="B40" s="552"/>
      <c r="C40" s="406">
        <f>C38/12</f>
        <v>307.63680823431883</v>
      </c>
      <c r="D40" s="415"/>
    </row>
    <row r="41" spans="1:8" ht="15" customHeight="1" x14ac:dyDescent="0.2">
      <c r="A41" s="247"/>
      <c r="B41" s="393"/>
      <c r="C41" s="245"/>
      <c r="D41" s="415"/>
    </row>
    <row r="42" spans="1:8" ht="15" customHeight="1" thickBot="1" x14ac:dyDescent="0.35">
      <c r="A42" s="420" t="s">
        <v>275</v>
      </c>
      <c r="B42" s="420"/>
      <c r="C42" s="420"/>
      <c r="D42" s="420"/>
    </row>
    <row r="43" spans="1:8" ht="15" customHeight="1" thickTop="1" x14ac:dyDescent="0.2">
      <c r="A43" s="260"/>
      <c r="B43" s="394"/>
      <c r="C43" s="245"/>
      <c r="D43" s="415"/>
    </row>
    <row r="44" spans="1:8" ht="15" customHeight="1" x14ac:dyDescent="0.2">
      <c r="A44" s="548" t="s">
        <v>265</v>
      </c>
      <c r="B44" s="548"/>
      <c r="C44" s="398">
        <f>'VALOR DO POSTO - ESTIMATIVA'!$E$25</f>
        <v>2024.3345454545454</v>
      </c>
      <c r="D44" s="415"/>
    </row>
    <row r="45" spans="1:8" ht="15" customHeight="1" x14ac:dyDescent="0.2">
      <c r="A45" s="400" t="s">
        <v>276</v>
      </c>
      <c r="B45" s="404">
        <v>0.33333333329999998</v>
      </c>
      <c r="C45" s="398">
        <f>C44*B45</f>
        <v>674.77818175070388</v>
      </c>
      <c r="D45" s="415"/>
    </row>
    <row r="46" spans="1:8" ht="15" customHeight="1" x14ac:dyDescent="0.2">
      <c r="A46" s="556" t="s">
        <v>79</v>
      </c>
      <c r="B46" s="556"/>
      <c r="C46" s="405">
        <f>SUM(C44:C45)</f>
        <v>2699.112727205249</v>
      </c>
      <c r="D46" s="415"/>
    </row>
    <row r="47" spans="1:8" ht="15" customHeight="1" x14ac:dyDescent="0.2">
      <c r="A47" s="400" t="s">
        <v>267</v>
      </c>
      <c r="B47" s="404">
        <f>'VALOR DO POSTO - ESTIMATIVA'!$D$43</f>
        <v>0.39800000000000008</v>
      </c>
      <c r="C47" s="398">
        <f>C46*B47</f>
        <v>1074.2468654276893</v>
      </c>
      <c r="D47" s="415"/>
    </row>
    <row r="48" spans="1:8" ht="15" customHeight="1" x14ac:dyDescent="0.2">
      <c r="A48" s="553" t="s">
        <v>79</v>
      </c>
      <c r="B48" s="553"/>
      <c r="C48" s="405">
        <f>C46+C47</f>
        <v>3773.3595926329381</v>
      </c>
      <c r="D48" s="415"/>
    </row>
    <row r="49" spans="1:6" ht="15" customHeight="1" x14ac:dyDescent="0.2">
      <c r="A49" s="400" t="s">
        <v>270</v>
      </c>
      <c r="B49" s="404">
        <f>LARGE('VALOR DO POSTO - ESTIMATIVA'!$D$107:$D$109,1)</f>
        <v>0.30445795339412363</v>
      </c>
      <c r="C49" s="398">
        <f>B49*C48</f>
        <v>1148.8293389931084</v>
      </c>
      <c r="D49" s="415"/>
    </row>
    <row r="50" spans="1:6" ht="15" customHeight="1" x14ac:dyDescent="0.2">
      <c r="A50" s="550" t="s">
        <v>269</v>
      </c>
      <c r="B50" s="551"/>
      <c r="C50" s="399">
        <f>C49+C48</f>
        <v>4922.1889316260467</v>
      </c>
      <c r="D50" s="415"/>
    </row>
    <row r="51" spans="1:6" ht="15" customHeight="1" x14ac:dyDescent="0.3">
      <c r="A51" s="559"/>
      <c r="B51" s="559"/>
      <c r="C51" s="559"/>
      <c r="D51" s="415"/>
    </row>
    <row r="52" spans="1:6" ht="15" customHeight="1" x14ac:dyDescent="0.2">
      <c r="A52" s="552" t="s">
        <v>284</v>
      </c>
      <c r="B52" s="552"/>
      <c r="C52" s="406">
        <f>C50/12</f>
        <v>410.18241096883725</v>
      </c>
      <c r="D52" s="415"/>
    </row>
    <row r="53" spans="1:6" ht="15" customHeight="1" x14ac:dyDescent="0.2">
      <c r="A53" s="395"/>
      <c r="B53" s="248"/>
      <c r="D53" s="415"/>
    </row>
    <row r="54" spans="1:6" ht="15" customHeight="1" thickBot="1" x14ac:dyDescent="0.35">
      <c r="A54" s="558" t="s">
        <v>277</v>
      </c>
      <c r="B54" s="558"/>
      <c r="C54" s="558"/>
      <c r="D54" s="420"/>
      <c r="E54" s="421"/>
      <c r="F54" s="421"/>
    </row>
    <row r="55" spans="1:6" ht="15" customHeight="1" thickTop="1" x14ac:dyDescent="0.2">
      <c r="A55" s="396"/>
      <c r="B55" s="248"/>
      <c r="C55" s="245"/>
      <c r="D55" s="415"/>
    </row>
    <row r="56" spans="1:6" ht="15" customHeight="1" x14ac:dyDescent="0.3">
      <c r="A56" s="557" t="s">
        <v>278</v>
      </c>
      <c r="B56" s="557"/>
      <c r="C56" s="557"/>
      <c r="D56" s="557"/>
    </row>
    <row r="57" spans="1:6" ht="15" customHeight="1" x14ac:dyDescent="0.25">
      <c r="A57" s="417" t="s">
        <v>281</v>
      </c>
      <c r="B57" s="417" t="s">
        <v>282</v>
      </c>
      <c r="C57" s="417" t="s">
        <v>283</v>
      </c>
      <c r="D57" s="417" t="s">
        <v>205</v>
      </c>
    </row>
    <row r="58" spans="1:6" ht="15" customHeight="1" x14ac:dyDescent="0.2">
      <c r="A58" s="416" t="s">
        <v>279</v>
      </c>
      <c r="B58" s="564">
        <v>1</v>
      </c>
      <c r="C58" s="418">
        <f>$C$40</f>
        <v>307.63680823431883</v>
      </c>
      <c r="D58" s="436">
        <f>B58*$C$58</f>
        <v>307.63680823431883</v>
      </c>
    </row>
    <row r="59" spans="1:6" ht="15" customHeight="1" x14ac:dyDescent="0.2">
      <c r="A59" s="400" t="s">
        <v>280</v>
      </c>
      <c r="B59" s="565"/>
      <c r="C59" s="419">
        <f>$C$52</f>
        <v>410.18241096883725</v>
      </c>
      <c r="D59" s="398">
        <f>B58*C59</f>
        <v>410.18241096883725</v>
      </c>
    </row>
    <row r="60" spans="1:6" ht="15" customHeight="1" x14ac:dyDescent="0.2">
      <c r="A60" s="560"/>
      <c r="B60" s="560"/>
      <c r="C60" s="560"/>
      <c r="D60" s="406">
        <f>SUM(D58:D59)</f>
        <v>717.81921920315608</v>
      </c>
    </row>
    <row r="61" spans="1:6" ht="15" customHeight="1" x14ac:dyDescent="0.2">
      <c r="A61" s="247"/>
      <c r="B61" s="393"/>
      <c r="C61" s="245"/>
      <c r="D61" s="415"/>
    </row>
    <row r="62" spans="1:6" ht="15" customHeight="1" x14ac:dyDescent="0.3">
      <c r="A62" s="557" t="s">
        <v>286</v>
      </c>
      <c r="B62" s="557"/>
      <c r="C62" s="557"/>
      <c r="D62" s="557"/>
    </row>
    <row r="63" spans="1:6" ht="15" customHeight="1" x14ac:dyDescent="0.25">
      <c r="A63" s="417" t="s">
        <v>281</v>
      </c>
      <c r="B63" s="417" t="s">
        <v>282</v>
      </c>
      <c r="C63" s="417" t="s">
        <v>283</v>
      </c>
      <c r="D63" s="417" t="s">
        <v>205</v>
      </c>
    </row>
    <row r="64" spans="1:6" ht="15" customHeight="1" x14ac:dyDescent="0.2">
      <c r="A64" s="416" t="s">
        <v>279</v>
      </c>
      <c r="B64" s="564">
        <v>1</v>
      </c>
      <c r="C64" s="418">
        <f>$C$40</f>
        <v>307.63680823431883</v>
      </c>
      <c r="D64" s="436">
        <f>$B$64*C64</f>
        <v>307.63680823431883</v>
      </c>
    </row>
    <row r="65" spans="1:4" ht="15" customHeight="1" x14ac:dyDescent="0.2">
      <c r="A65" s="400" t="s">
        <v>280</v>
      </c>
      <c r="B65" s="566"/>
      <c r="C65" s="419">
        <f>$C$52</f>
        <v>410.18241096883725</v>
      </c>
      <c r="D65" s="436">
        <f t="shared" ref="D65:D67" si="0">$B$64*C65</f>
        <v>410.18241096883725</v>
      </c>
    </row>
    <row r="66" spans="1:4" ht="15" customHeight="1" x14ac:dyDescent="0.2">
      <c r="A66" s="423" t="s">
        <v>325</v>
      </c>
      <c r="B66" s="566"/>
      <c r="C66" s="398">
        <f>((((('VALOR DO POSTO - ESTIMATIVA'!$E$25*13)+('VALOR DO POSTO - ESTIMATIVA'!$E$25*33%))*8%)*40%)/12)+((((('VALOR DO POSTO - ESTIMATIVA'!$E$25*13)+('VALOR DO POSTO - ESTIMATIVA'!$E$25*33%))*8%)*40%)/12)*LARGE('VALOR DO POSTO - ESTIMATIVA'!$D$107:$D$109,1)</f>
        <v>93.866635851524364</v>
      </c>
      <c r="D66" s="436">
        <f t="shared" si="0"/>
        <v>93.866635851524364</v>
      </c>
    </row>
    <row r="67" spans="1:4" ht="15" customHeight="1" x14ac:dyDescent="0.2">
      <c r="A67" s="400" t="s">
        <v>285</v>
      </c>
      <c r="B67" s="565"/>
      <c r="C67" s="398">
        <f>((('VALOR DO POSTO - ESTIMATIVA'!$E$25/30)*3)/12)+(((('VALOR DO POSTO - ESTIMATIVA'!$E$25/30)*3)/12)*(LARGE('VALOR DO POSTO - ESTIMATIVA'!$D$107:$D$109,1)))</f>
        <v>22.005494151238832</v>
      </c>
      <c r="D67" s="436">
        <f t="shared" si="0"/>
        <v>22.005494151238832</v>
      </c>
    </row>
    <row r="68" spans="1:4" ht="15" customHeight="1" x14ac:dyDescent="0.2">
      <c r="A68" s="560"/>
      <c r="B68" s="560"/>
      <c r="C68" s="560"/>
      <c r="D68" s="406">
        <f>SUM(D64:D67)</f>
        <v>833.69134920591932</v>
      </c>
    </row>
    <row r="69" spans="1:4" ht="15" customHeight="1" x14ac:dyDescent="0.2">
      <c r="A69" s="244"/>
      <c r="B69" s="250"/>
      <c r="C69" s="246"/>
      <c r="D69" s="415"/>
    </row>
    <row r="70" spans="1:4" ht="15" customHeight="1" x14ac:dyDescent="0.3">
      <c r="A70" s="557" t="s">
        <v>287</v>
      </c>
      <c r="B70" s="557"/>
      <c r="C70" s="557"/>
      <c r="D70" s="557"/>
    </row>
    <row r="71" spans="1:4" ht="15" customHeight="1" x14ac:dyDescent="0.25">
      <c r="A71" s="417" t="s">
        <v>281</v>
      </c>
      <c r="B71" s="417" t="s">
        <v>282</v>
      </c>
      <c r="C71" s="417" t="s">
        <v>283</v>
      </c>
      <c r="D71" s="417" t="s">
        <v>205</v>
      </c>
    </row>
    <row r="72" spans="1:4" ht="15" customHeight="1" x14ac:dyDescent="0.2">
      <c r="A72" s="416" t="s">
        <v>279</v>
      </c>
      <c r="B72" s="564">
        <v>1</v>
      </c>
      <c r="C72" s="418">
        <f>$C$40</f>
        <v>307.63680823431883</v>
      </c>
      <c r="D72" s="436">
        <f>$B$72*C72</f>
        <v>307.63680823431883</v>
      </c>
    </row>
    <row r="73" spans="1:4" ht="15" customHeight="1" x14ac:dyDescent="0.2">
      <c r="A73" s="400" t="s">
        <v>280</v>
      </c>
      <c r="B73" s="566"/>
      <c r="C73" s="419">
        <f>$C$52</f>
        <v>410.18241096883725</v>
      </c>
      <c r="D73" s="436">
        <f t="shared" ref="D73:D75" si="1">$B$72*C73</f>
        <v>410.18241096883725</v>
      </c>
    </row>
    <row r="74" spans="1:4" ht="15" customHeight="1" x14ac:dyDescent="0.2">
      <c r="A74" s="423" t="s">
        <v>325</v>
      </c>
      <c r="B74" s="566"/>
      <c r="C74" s="398">
        <f>((((('VALOR DO POSTO - ESTIMATIVA'!$E$25*13)+('VALOR DO POSTO - ESTIMATIVA'!$E$25*33%))*8%)*40%)/12)+((((('VALOR DO POSTO - ESTIMATIVA'!$E$25*13)+('VALOR DO POSTO - ESTIMATIVA'!$E$25*33%))*8%)*40%)/12)*LARGE('VALOR DO POSTO - ESTIMATIVA'!$D$107:$D$109,1)</f>
        <v>93.866635851524364</v>
      </c>
      <c r="D74" s="436">
        <f t="shared" si="1"/>
        <v>93.866635851524364</v>
      </c>
    </row>
    <row r="75" spans="1:4" ht="15" customHeight="1" x14ac:dyDescent="0.2">
      <c r="A75" s="400" t="s">
        <v>285</v>
      </c>
      <c r="B75" s="565"/>
      <c r="C75" s="398">
        <f>((('VALOR DO POSTO - ESTIMATIVA'!$E$25/30)*3)/12)+(((('VALOR DO POSTO - ESTIMATIVA'!$E$25/30)*3)/12)*(LARGE('VALOR DO POSTO - ESTIMATIVA'!$D$107:$D$109,1)))</f>
        <v>22.005494151238832</v>
      </c>
      <c r="D75" s="436">
        <f t="shared" si="1"/>
        <v>22.005494151238832</v>
      </c>
    </row>
    <row r="76" spans="1:4" ht="15" customHeight="1" x14ac:dyDescent="0.2">
      <c r="A76" s="561" t="s">
        <v>288</v>
      </c>
      <c r="B76" s="562"/>
      <c r="C76" s="398">
        <f>('VALOR DO POSTO - ESTIMATIVA'!$E$25/12)+(('VALOR DO POSTO - ESTIMATIVA'!$E$25/12)*(LARGE('VALOR DO POSTO - ESTIMATIVA'!D107:D109,1)))</f>
        <v>220.05494151238833</v>
      </c>
      <c r="D76" s="398">
        <f>C76</f>
        <v>220.05494151238833</v>
      </c>
    </row>
    <row r="77" spans="1:4" ht="15" x14ac:dyDescent="0.2">
      <c r="A77" s="560"/>
      <c r="B77" s="560"/>
      <c r="C77" s="560"/>
      <c r="D77" s="406">
        <f>SUM(D72:D76)</f>
        <v>1053.7462907183076</v>
      </c>
    </row>
  </sheetData>
  <sheetProtection algorithmName="SHA-512" hashValue="abhRhKjtmBrCkIG2I+KpCQoWfSscNmKREPu88xh7p9czMjPCX8I0MRKapcusM8wsql3YlCK0WJ+bxVbIxT9P3w==" saltValue="jNDI7blk6B5freNvRXZS4Q==" spinCount="100000" sheet="1" objects="1" scenarios="1" selectLockedCells="1"/>
  <mergeCells count="40">
    <mergeCell ref="A1:D1"/>
    <mergeCell ref="A2:D2"/>
    <mergeCell ref="A3:D3"/>
    <mergeCell ref="A5:D5"/>
    <mergeCell ref="A6:D6"/>
    <mergeCell ref="A77:C77"/>
    <mergeCell ref="A76:B76"/>
    <mergeCell ref="A68:C68"/>
    <mergeCell ref="A31:C31"/>
    <mergeCell ref="A39:C39"/>
    <mergeCell ref="B58:B59"/>
    <mergeCell ref="B64:B67"/>
    <mergeCell ref="B72:B75"/>
    <mergeCell ref="A60:C60"/>
    <mergeCell ref="A62:D62"/>
    <mergeCell ref="A70:D70"/>
    <mergeCell ref="A28:B28"/>
    <mergeCell ref="A30:B30"/>
    <mergeCell ref="A56:D56"/>
    <mergeCell ref="A34:B34"/>
    <mergeCell ref="A36:B36"/>
    <mergeCell ref="A38:B38"/>
    <mergeCell ref="A40:B40"/>
    <mergeCell ref="A44:B44"/>
    <mergeCell ref="A46:B46"/>
    <mergeCell ref="A48:B48"/>
    <mergeCell ref="A50:B50"/>
    <mergeCell ref="A54:C54"/>
    <mergeCell ref="A51:C51"/>
    <mergeCell ref="A52:B52"/>
    <mergeCell ref="A10:B10"/>
    <mergeCell ref="A12:B12"/>
    <mergeCell ref="A14:B14"/>
    <mergeCell ref="A16:B16"/>
    <mergeCell ref="A26:B26"/>
    <mergeCell ref="A20:C20"/>
    <mergeCell ref="A21:B21"/>
    <mergeCell ref="A22:B22"/>
    <mergeCell ref="A23:B23"/>
    <mergeCell ref="A24:B24"/>
  </mergeCells>
  <printOptions horizontalCentered="1"/>
  <pageMargins left="0.11811023622047245" right="0.11811023622047245" top="0.73" bottom="0.27559055118110237" header="0.18" footer="7.874015748031496E-2"/>
  <pageSetup paperSize="9" scale="70" orientation="portrait" r:id="rId1"/>
  <headerFooter>
    <oddHeader>&amp;C&amp;G&amp;R&amp;8&amp;P</oddHeader>
    <oddFooter>&amp;L&amp;G
&amp;"Arial,Negrito"&amp;8&amp;K00-034SGEC/COC/SECOFC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81" t="s">
        <v>119</v>
      </c>
      <c r="B1" s="582"/>
      <c r="C1" s="582"/>
      <c r="D1" s="582"/>
      <c r="E1" s="583"/>
    </row>
    <row r="2" spans="1:7" ht="12.75" x14ac:dyDescent="0.2">
      <c r="A2" s="122" t="s">
        <v>15</v>
      </c>
      <c r="B2" s="584"/>
      <c r="C2" s="585"/>
      <c r="D2" s="585"/>
      <c r="E2" s="586"/>
    </row>
    <row r="3" spans="1:7" ht="12.75" x14ac:dyDescent="0.2">
      <c r="A3" s="123" t="s">
        <v>16</v>
      </c>
      <c r="B3" s="587"/>
      <c r="C3" s="588"/>
      <c r="D3" s="588"/>
      <c r="E3" s="589"/>
    </row>
    <row r="4" spans="1:7" x14ac:dyDescent="0.2">
      <c r="A4" s="123" t="s">
        <v>17</v>
      </c>
      <c r="B4" s="590" t="e">
        <f>#REF!</f>
        <v>#REF!</v>
      </c>
      <c r="C4" s="591"/>
      <c r="D4" s="591"/>
      <c r="E4" s="592"/>
    </row>
    <row r="5" spans="1:7" ht="12.75" x14ac:dyDescent="0.2">
      <c r="A5" s="124" t="s">
        <v>109</v>
      </c>
      <c r="B5" s="576"/>
      <c r="C5" s="577"/>
      <c r="D5" s="577"/>
      <c r="E5" s="578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79" t="str">
        <f>'item 1 - he 100%'!A8:D8</f>
        <v>Tecnicos de Eleição</v>
      </c>
      <c r="B8" s="580"/>
      <c r="C8" s="580"/>
      <c r="D8" s="580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7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98" t="s">
        <v>136</v>
      </c>
      <c r="B1" s="599"/>
      <c r="C1" s="599"/>
      <c r="D1" s="599"/>
      <c r="E1" s="600"/>
    </row>
    <row r="2" spans="1:7" ht="12.75" x14ac:dyDescent="0.2">
      <c r="A2" s="218" t="s">
        <v>15</v>
      </c>
      <c r="B2" s="601"/>
      <c r="C2" s="602"/>
      <c r="D2" s="602"/>
      <c r="E2" s="603"/>
    </row>
    <row r="3" spans="1:7" ht="12.75" x14ac:dyDescent="0.2">
      <c r="A3" s="219" t="s">
        <v>16</v>
      </c>
      <c r="B3" s="604"/>
      <c r="C3" s="605"/>
      <c r="D3" s="605"/>
      <c r="E3" s="606"/>
    </row>
    <row r="4" spans="1:7" x14ac:dyDescent="0.2">
      <c r="A4" s="219" t="s">
        <v>17</v>
      </c>
      <c r="B4" s="607" t="e">
        <f>#REF!</f>
        <v>#REF!</v>
      </c>
      <c r="C4" s="608"/>
      <c r="D4" s="608"/>
      <c r="E4" s="609"/>
    </row>
    <row r="5" spans="1:7" ht="12.75" x14ac:dyDescent="0.2">
      <c r="A5" s="220" t="s">
        <v>109</v>
      </c>
      <c r="B5" s="593"/>
      <c r="C5" s="594"/>
      <c r="D5" s="594"/>
      <c r="E5" s="595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96" t="s">
        <v>131</v>
      </c>
      <c r="B8" s="597"/>
      <c r="C8" s="597"/>
      <c r="D8" s="597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7" type="noConversion"/>
  <pageMargins left="0.75" right="0.75" top="1" bottom="1" header="0.49212598499999999" footer="0.4921259849999999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56"/>
  <sheetViews>
    <sheetView showGridLines="0" view="pageBreakPreview" topLeftCell="A17" zoomScaleNormal="100" zoomScaleSheetLayoutView="100" workbookViewId="0">
      <selection activeCell="B38" sqref="B38:I38"/>
    </sheetView>
  </sheetViews>
  <sheetFormatPr defaultColWidth="11.42578125" defaultRowHeight="12.75" x14ac:dyDescent="0.2"/>
  <cols>
    <col min="1" max="1" width="5.42578125" style="265" customWidth="1"/>
    <col min="2" max="2" width="61.7109375" style="265" customWidth="1"/>
    <col min="3" max="3" width="15.85546875" style="265" customWidth="1"/>
    <col min="4" max="9" width="14.7109375" style="265" customWidth="1"/>
    <col min="10" max="10" width="14.140625" style="264" customWidth="1"/>
    <col min="11" max="14" width="17.140625" style="264" customWidth="1"/>
    <col min="15" max="15" width="19.85546875" style="264" customWidth="1"/>
    <col min="16" max="16" width="17.140625" style="264" customWidth="1"/>
    <col min="17" max="17" width="34.28515625" style="264" customWidth="1"/>
    <col min="18" max="18" width="17.7109375" style="264" customWidth="1"/>
    <col min="19" max="19" width="13.42578125" style="264" customWidth="1"/>
    <col min="20" max="21" width="11.42578125" style="264" customWidth="1"/>
    <col min="22" max="22" width="16.5703125" style="264" customWidth="1"/>
    <col min="23" max="24" width="11.42578125" style="264"/>
    <col min="25" max="16384" width="11.42578125" style="265"/>
  </cols>
  <sheetData>
    <row r="1" spans="1:24" ht="21" customHeight="1" x14ac:dyDescent="0.2">
      <c r="A1" s="642" t="str">
        <f>'VALOR DO POSTO - ESTIMATIVA'!A1:G1</f>
        <v>TRIBUNAL REGIONAL ELEITORAL DO PARANÁ</v>
      </c>
      <c r="B1" s="642"/>
      <c r="C1" s="642"/>
      <c r="D1" s="642"/>
      <c r="E1" s="642"/>
      <c r="F1" s="642"/>
      <c r="G1" s="642"/>
      <c r="H1" s="642"/>
      <c r="I1" s="642"/>
    </row>
    <row r="2" spans="1:24" ht="15" customHeight="1" x14ac:dyDescent="0.2">
      <c r="A2" s="527" t="str">
        <f>'VALOR DO POSTO - ESTIMATIVA'!A2:G2</f>
        <v>PLANILHA DE CUSTOS E FORMAÇÃO DE PREÇOS - PAGAMENTO PELO FATO GERADOR - ESTIMATIVA TRE/PR</v>
      </c>
      <c r="B2" s="527"/>
      <c r="C2" s="527"/>
      <c r="D2" s="527"/>
      <c r="E2" s="527"/>
      <c r="F2" s="527"/>
      <c r="G2" s="527"/>
      <c r="H2" s="527"/>
      <c r="I2" s="527"/>
    </row>
    <row r="3" spans="1:24" ht="15" customHeight="1" x14ac:dyDescent="0.2">
      <c r="A3" s="643" t="str">
        <f>'VALOR DO POSTO - ESTIMATIVA'!A3:G3</f>
        <v>Posto de Trabalho - Tecnólogo em Desing Gráfico</v>
      </c>
      <c r="B3" s="643"/>
      <c r="C3" s="643"/>
      <c r="D3" s="643"/>
      <c r="E3" s="643"/>
      <c r="F3" s="643"/>
      <c r="G3" s="643"/>
      <c r="H3" s="643"/>
      <c r="I3" s="643"/>
    </row>
    <row r="4" spans="1:24" ht="15" customHeight="1" x14ac:dyDescent="0.2">
      <c r="A4" s="266"/>
      <c r="B4" s="266"/>
      <c r="C4" s="266"/>
      <c r="D4" s="266"/>
      <c r="E4" s="266"/>
      <c r="F4" s="266"/>
      <c r="G4" s="266"/>
      <c r="H4" s="266"/>
      <c r="I4" s="266"/>
    </row>
    <row r="5" spans="1:24" s="268" customFormat="1" ht="15" customHeight="1" x14ac:dyDescent="0.2">
      <c r="A5" s="644" t="str">
        <f>'VALOR DO POSTO - ESTIMATIVA'!A9:G9</f>
        <v>NOME DA EMPRESA</v>
      </c>
      <c r="B5" s="645"/>
      <c r="C5" s="645"/>
      <c r="D5" s="645"/>
      <c r="E5" s="645"/>
      <c r="F5" s="645"/>
      <c r="G5" s="645"/>
      <c r="H5" s="645"/>
      <c r="I5" s="646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</row>
    <row r="6" spans="1:24" s="268" customFormat="1" ht="15" customHeight="1" x14ac:dyDescent="0.2">
      <c r="A6" s="647" t="str">
        <f>'VALOR DO POSTO - ESTIMATIVA'!A10:G10</f>
        <v>CNPJ</v>
      </c>
      <c r="B6" s="648"/>
      <c r="C6" s="648"/>
      <c r="D6" s="648"/>
      <c r="E6" s="648"/>
      <c r="F6" s="648"/>
      <c r="G6" s="648"/>
      <c r="H6" s="648"/>
      <c r="I6" s="649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</row>
    <row r="7" spans="1:24" s="268" customFormat="1" ht="15" customHeight="1" thickBot="1" x14ac:dyDescent="0.25">
      <c r="A7" s="269"/>
      <c r="B7" s="269"/>
      <c r="C7" s="269"/>
      <c r="D7" s="269"/>
      <c r="E7" s="269"/>
      <c r="F7" s="269"/>
      <c r="G7" s="269"/>
      <c r="H7" s="269"/>
      <c r="I7" s="270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</row>
    <row r="8" spans="1:24" s="268" customFormat="1" ht="30" customHeight="1" thickBot="1" x14ac:dyDescent="0.25">
      <c r="A8" s="639" t="s">
        <v>174</v>
      </c>
      <c r="B8" s="640"/>
      <c r="C8" s="640"/>
      <c r="D8" s="640"/>
      <c r="E8" s="640"/>
      <c r="F8" s="640"/>
      <c r="G8" s="640"/>
      <c r="H8" s="640"/>
      <c r="I8" s="641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</row>
    <row r="9" spans="1:24" s="268" customFormat="1" ht="15" customHeight="1" x14ac:dyDescent="0.2">
      <c r="A9" s="271"/>
      <c r="B9" s="271"/>
      <c r="C9" s="271"/>
      <c r="D9" s="271"/>
      <c r="E9" s="271"/>
      <c r="F9" s="271"/>
      <c r="G9" s="271"/>
      <c r="H9" s="271"/>
      <c r="I9" s="271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7"/>
    </row>
    <row r="10" spans="1:24" s="268" customFormat="1" ht="15" customHeight="1" x14ac:dyDescent="0.2">
      <c r="A10" s="272" t="s">
        <v>139</v>
      </c>
      <c r="B10" s="634" t="s">
        <v>144</v>
      </c>
      <c r="C10" s="634"/>
      <c r="D10" s="634"/>
      <c r="E10" s="634" t="s">
        <v>146</v>
      </c>
      <c r="F10" s="634"/>
      <c r="G10" s="271"/>
      <c r="H10" s="273" t="s">
        <v>175</v>
      </c>
      <c r="I10" s="274" t="str">
        <f>'VALOR DO POSTO - ESTIMATIVA'!E5</f>
        <v>6252/2019</v>
      </c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</row>
    <row r="11" spans="1:24" s="268" customFormat="1" ht="15" customHeight="1" x14ac:dyDescent="0.2">
      <c r="A11" s="275">
        <v>1</v>
      </c>
      <c r="B11" s="635" t="str">
        <f>'VALOR DO POSTO - ESTIMATIVA'!E13</f>
        <v>Designer Gráfico (CBO 2624-10) - 40hs</v>
      </c>
      <c r="C11" s="636"/>
      <c r="D11" s="637"/>
      <c r="E11" s="638">
        <v>40</v>
      </c>
      <c r="F11" s="638"/>
      <c r="G11" s="271"/>
      <c r="H11" s="273" t="s">
        <v>157</v>
      </c>
      <c r="I11" s="274">
        <f>'VALOR DO POSTO - ESTIMATIVA'!E6</f>
        <v>0</v>
      </c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7"/>
      <c r="X11" s="267"/>
    </row>
    <row r="12" spans="1:24" s="268" customFormat="1" ht="24.95" customHeight="1" thickBot="1" x14ac:dyDescent="0.3">
      <c r="A12" s="631" t="s">
        <v>161</v>
      </c>
      <c r="B12" s="631"/>
      <c r="C12" s="631"/>
      <c r="D12" s="631"/>
      <c r="E12" s="631"/>
      <c r="F12" s="631"/>
      <c r="G12" s="631"/>
      <c r="H12" s="631"/>
      <c r="I12" s="631"/>
      <c r="J12" s="277"/>
      <c r="K12" s="277"/>
      <c r="L12" s="277"/>
      <c r="M12" s="277"/>
      <c r="N12" s="277"/>
      <c r="O12" s="277"/>
      <c r="P12" s="277"/>
      <c r="Q12" s="278"/>
      <c r="R12" s="267"/>
      <c r="S12" s="267"/>
      <c r="T12" s="267"/>
      <c r="U12" s="267"/>
      <c r="V12" s="267"/>
      <c r="W12" s="267"/>
      <c r="X12" s="267"/>
    </row>
    <row r="13" spans="1:24" s="268" customFormat="1" ht="64.5" customHeight="1" thickTop="1" x14ac:dyDescent="0.2">
      <c r="A13" s="620" t="s">
        <v>139</v>
      </c>
      <c r="B13" s="620" t="s">
        <v>144</v>
      </c>
      <c r="C13" s="621" t="s">
        <v>18</v>
      </c>
      <c r="D13" s="611" t="s">
        <v>176</v>
      </c>
      <c r="E13" s="279" t="s">
        <v>145</v>
      </c>
      <c r="F13" s="279" t="s">
        <v>142</v>
      </c>
      <c r="G13" s="632" t="s">
        <v>141</v>
      </c>
      <c r="H13" s="280" t="s">
        <v>150</v>
      </c>
      <c r="I13" s="611" t="s">
        <v>163</v>
      </c>
      <c r="J13" s="277"/>
      <c r="K13" s="277"/>
      <c r="L13" s="277"/>
      <c r="M13" s="277"/>
      <c r="N13" s="277"/>
      <c r="O13" s="277"/>
      <c r="P13" s="277"/>
      <c r="Q13" s="278"/>
      <c r="R13" s="278"/>
      <c r="S13" s="267"/>
      <c r="T13" s="267"/>
      <c r="U13" s="267"/>
      <c r="V13" s="267"/>
      <c r="W13" s="267"/>
      <c r="X13" s="267"/>
    </row>
    <row r="14" spans="1:24" s="268" customFormat="1" ht="15" customHeight="1" x14ac:dyDescent="0.2">
      <c r="A14" s="620"/>
      <c r="B14" s="620"/>
      <c r="C14" s="622"/>
      <c r="D14" s="612"/>
      <c r="E14" s="251">
        <v>0.2</v>
      </c>
      <c r="F14" s="251">
        <f>'VALOR DO POSTO - ESTIMATIVA'!$D$43</f>
        <v>0.39800000000000008</v>
      </c>
      <c r="G14" s="633"/>
      <c r="H14" s="251">
        <f>LARGE('VALOR DO POSTO - ESTIMATIVA'!$D$107:$D$109,1)</f>
        <v>0.30445795339412363</v>
      </c>
      <c r="I14" s="612"/>
      <c r="J14" s="277"/>
      <c r="K14" s="277"/>
      <c r="L14" s="277"/>
      <c r="M14" s="277"/>
      <c r="N14" s="277"/>
      <c r="O14" s="277"/>
      <c r="P14" s="277"/>
      <c r="Q14" s="278"/>
      <c r="R14" s="278"/>
      <c r="S14" s="267"/>
      <c r="T14" s="267"/>
      <c r="U14" s="267"/>
      <c r="V14" s="267"/>
      <c r="W14" s="267"/>
      <c r="X14" s="267"/>
    </row>
    <row r="15" spans="1:24" s="268" customFormat="1" ht="15" customHeight="1" x14ac:dyDescent="0.2">
      <c r="A15" s="281">
        <v>1</v>
      </c>
      <c r="B15" s="282" t="str">
        <f>$B$11</f>
        <v>Designer Gráfico (CBO 2624-10) - 40hs</v>
      </c>
      <c r="C15" s="283">
        <f>'VALOR DO POSTO - ESTIMATIVA'!$E$25</f>
        <v>2024.3345454545454</v>
      </c>
      <c r="D15" s="283">
        <f>(C15/(E11*5))*1.5</f>
        <v>15.182509090909091</v>
      </c>
      <c r="E15" s="283">
        <f t="shared" ref="E15" si="0">D15*$E$14</f>
        <v>3.0365018181818186</v>
      </c>
      <c r="F15" s="284">
        <f>(D15+E15)*$F$14</f>
        <v>7.251166341818184</v>
      </c>
      <c r="G15" s="284">
        <f>D15+E15+F15</f>
        <v>25.470177250909096</v>
      </c>
      <c r="H15" s="284">
        <f t="shared" ref="H15" si="1">G15*$H$14</f>
        <v>7.754598038397349</v>
      </c>
      <c r="I15" s="285">
        <f>ROUND((G15+H15),2)</f>
        <v>33.22</v>
      </c>
      <c r="J15" s="277"/>
      <c r="K15" s="277"/>
      <c r="L15" s="277"/>
      <c r="M15" s="277"/>
      <c r="N15" s="277"/>
      <c r="O15" s="277"/>
      <c r="P15" s="277"/>
      <c r="Q15" s="278"/>
      <c r="R15" s="278"/>
      <c r="S15" s="267"/>
      <c r="T15" s="267"/>
      <c r="U15" s="267"/>
      <c r="V15" s="267"/>
      <c r="W15" s="267"/>
      <c r="X15" s="267"/>
    </row>
    <row r="16" spans="1:24" s="268" customFormat="1" ht="24.95" customHeight="1" thickBot="1" x14ac:dyDescent="0.3">
      <c r="A16" s="631" t="s">
        <v>162</v>
      </c>
      <c r="B16" s="631"/>
      <c r="C16" s="631"/>
      <c r="D16" s="631"/>
      <c r="E16" s="631"/>
      <c r="F16" s="631"/>
      <c r="G16" s="631"/>
      <c r="H16" s="631"/>
      <c r="I16" s="631"/>
      <c r="J16" s="277"/>
      <c r="K16" s="277"/>
      <c r="L16" s="277"/>
      <c r="M16" s="277"/>
      <c r="N16" s="277"/>
      <c r="O16" s="277"/>
      <c r="P16" s="277"/>
      <c r="Q16" s="278"/>
      <c r="R16" s="278"/>
      <c r="S16" s="267"/>
      <c r="T16" s="267"/>
      <c r="U16" s="267"/>
      <c r="V16" s="267"/>
      <c r="W16" s="267"/>
      <c r="X16" s="267"/>
    </row>
    <row r="17" spans="1:24" s="268" customFormat="1" ht="64.5" customHeight="1" thickTop="1" x14ac:dyDescent="0.2">
      <c r="A17" s="620" t="s">
        <v>139</v>
      </c>
      <c r="B17" s="620" t="s">
        <v>144</v>
      </c>
      <c r="C17" s="621" t="s">
        <v>18</v>
      </c>
      <c r="D17" s="611" t="s">
        <v>177</v>
      </c>
      <c r="E17" s="279" t="s">
        <v>145</v>
      </c>
      <c r="F17" s="279" t="s">
        <v>142</v>
      </c>
      <c r="G17" s="632" t="s">
        <v>141</v>
      </c>
      <c r="H17" s="286" t="s">
        <v>150</v>
      </c>
      <c r="I17" s="611" t="s">
        <v>164</v>
      </c>
      <c r="J17" s="277"/>
      <c r="K17" s="277"/>
      <c r="L17" s="277"/>
      <c r="M17" s="277"/>
      <c r="N17" s="277"/>
      <c r="O17" s="277"/>
      <c r="P17" s="277"/>
      <c r="Q17" s="278"/>
      <c r="R17" s="278"/>
      <c r="S17" s="267"/>
      <c r="T17" s="267"/>
      <c r="U17" s="267"/>
      <c r="V17" s="267"/>
      <c r="W17" s="267"/>
      <c r="X17" s="267"/>
    </row>
    <row r="18" spans="1:24" s="268" customFormat="1" ht="15" customHeight="1" x14ac:dyDescent="0.2">
      <c r="A18" s="620"/>
      <c r="B18" s="620"/>
      <c r="C18" s="622"/>
      <c r="D18" s="612"/>
      <c r="E18" s="251">
        <v>0.2</v>
      </c>
      <c r="F18" s="251">
        <f>'VALOR DO POSTO - ESTIMATIVA'!$D$43</f>
        <v>0.39800000000000008</v>
      </c>
      <c r="G18" s="633"/>
      <c r="H18" s="251">
        <f>LARGE('VALOR DO POSTO - ESTIMATIVA'!$D$107:$D$109,1)</f>
        <v>0.30445795339412363</v>
      </c>
      <c r="I18" s="612"/>
      <c r="J18" s="277"/>
      <c r="K18" s="277"/>
      <c r="L18" s="277"/>
      <c r="M18" s="277"/>
      <c r="N18" s="277"/>
      <c r="O18" s="277"/>
      <c r="P18" s="277"/>
      <c r="Q18" s="278"/>
      <c r="R18" s="278"/>
      <c r="S18" s="267"/>
      <c r="T18" s="267"/>
      <c r="U18" s="267"/>
      <c r="V18" s="267"/>
      <c r="W18" s="267"/>
      <c r="X18" s="267"/>
    </row>
    <row r="19" spans="1:24" s="268" customFormat="1" ht="15" customHeight="1" x14ac:dyDescent="0.2">
      <c r="A19" s="281">
        <v>1</v>
      </c>
      <c r="B19" s="282" t="str">
        <f>$B$11</f>
        <v>Designer Gráfico (CBO 2624-10) - 40hs</v>
      </c>
      <c r="C19" s="283">
        <f>'VALOR DO POSTO - ESTIMATIVA'!$E$25</f>
        <v>2024.3345454545454</v>
      </c>
      <c r="D19" s="283">
        <f>(C19/(E11*5))*2</f>
        <v>20.243345454545455</v>
      </c>
      <c r="E19" s="283">
        <f>D19*$E$18</f>
        <v>4.0486690909090912</v>
      </c>
      <c r="F19" s="284">
        <f>(D19+E19)*$F$18</f>
        <v>9.6682217890909108</v>
      </c>
      <c r="G19" s="284">
        <f t="shared" ref="G19" si="2">D19+E19+F19</f>
        <v>33.960236334545456</v>
      </c>
      <c r="H19" s="284">
        <f>G19*$H$18</f>
        <v>10.339464051196464</v>
      </c>
      <c r="I19" s="285">
        <f>ROUND((G19+H19),2)</f>
        <v>44.3</v>
      </c>
      <c r="J19" s="277"/>
      <c r="K19" s="277"/>
      <c r="L19" s="277"/>
      <c r="M19" s="277"/>
      <c r="N19" s="277"/>
      <c r="O19" s="277"/>
      <c r="P19" s="277"/>
      <c r="Q19" s="278"/>
      <c r="R19" s="278"/>
      <c r="S19" s="267"/>
      <c r="T19" s="267"/>
      <c r="U19" s="267"/>
      <c r="V19" s="267"/>
      <c r="W19" s="267"/>
      <c r="X19" s="267"/>
    </row>
    <row r="20" spans="1:24" s="268" customFormat="1" ht="24.95" customHeight="1" thickBot="1" x14ac:dyDescent="0.3">
      <c r="A20" s="618" t="s">
        <v>160</v>
      </c>
      <c r="B20" s="618"/>
      <c r="C20" s="618"/>
      <c r="D20" s="618"/>
      <c r="E20" s="618"/>
      <c r="F20" s="618"/>
      <c r="G20" s="618"/>
      <c r="H20" s="618"/>
      <c r="I20" s="618"/>
      <c r="J20" s="277"/>
      <c r="K20" s="277"/>
      <c r="L20" s="277"/>
      <c r="M20" s="277"/>
      <c r="N20" s="277"/>
      <c r="O20" s="277"/>
      <c r="P20" s="277"/>
      <c r="Q20" s="278"/>
      <c r="R20" s="278"/>
      <c r="S20" s="267"/>
      <c r="T20" s="267"/>
      <c r="U20" s="267"/>
      <c r="V20" s="267"/>
      <c r="W20" s="267"/>
      <c r="X20" s="267"/>
    </row>
    <row r="21" spans="1:24" s="268" customFormat="1" ht="64.5" customHeight="1" thickTop="1" x14ac:dyDescent="0.2">
      <c r="A21" s="619" t="s">
        <v>139</v>
      </c>
      <c r="B21" s="619" t="s">
        <v>144</v>
      </c>
      <c r="C21" s="621" t="s">
        <v>18</v>
      </c>
      <c r="D21" s="613" t="s">
        <v>178</v>
      </c>
      <c r="E21" s="287" t="s">
        <v>145</v>
      </c>
      <c r="F21" s="287" t="s">
        <v>142</v>
      </c>
      <c r="G21" s="623" t="s">
        <v>141</v>
      </c>
      <c r="H21" s="288" t="s">
        <v>150</v>
      </c>
      <c r="I21" s="625" t="s">
        <v>165</v>
      </c>
      <c r="J21" s="277"/>
      <c r="K21" s="277"/>
      <c r="L21" s="277"/>
      <c r="M21" s="277"/>
      <c r="N21" s="277"/>
      <c r="O21" s="277"/>
      <c r="P21" s="277"/>
      <c r="Q21" s="278"/>
      <c r="R21" s="278"/>
      <c r="S21" s="267"/>
      <c r="T21" s="267"/>
      <c r="U21" s="267"/>
      <c r="V21" s="267"/>
      <c r="W21" s="267"/>
      <c r="X21" s="267"/>
    </row>
    <row r="22" spans="1:24" s="268" customFormat="1" x14ac:dyDescent="0.2">
      <c r="A22" s="620"/>
      <c r="B22" s="620"/>
      <c r="C22" s="622"/>
      <c r="D22" s="614"/>
      <c r="E22" s="251">
        <v>0.2</v>
      </c>
      <c r="F22" s="251">
        <f>'VALOR DO POSTO - ESTIMATIVA'!$D$43</f>
        <v>0.39800000000000008</v>
      </c>
      <c r="G22" s="624"/>
      <c r="H22" s="251">
        <f>LARGE('VALOR DO POSTO - ESTIMATIVA'!$D$107:$D$109,1)</f>
        <v>0.30445795339412363</v>
      </c>
      <c r="I22" s="614"/>
      <c r="J22" s="277"/>
      <c r="K22" s="277"/>
      <c r="L22" s="277"/>
      <c r="M22" s="277"/>
      <c r="N22" s="277"/>
      <c r="O22" s="277"/>
      <c r="P22" s="277"/>
      <c r="Q22" s="278"/>
      <c r="R22" s="278"/>
      <c r="S22" s="267"/>
      <c r="T22" s="267"/>
      <c r="U22" s="267"/>
      <c r="V22" s="267"/>
      <c r="W22" s="267"/>
      <c r="X22" s="267"/>
    </row>
    <row r="23" spans="1:24" s="268" customFormat="1" ht="15" customHeight="1" x14ac:dyDescent="0.2">
      <c r="A23" s="281">
        <v>1</v>
      </c>
      <c r="B23" s="282" t="str">
        <f>$B$11</f>
        <v>Designer Gráfico (CBO 2624-10) - 40hs</v>
      </c>
      <c r="C23" s="283">
        <f>'VALOR DO POSTO - ESTIMATIVA'!$E$25</f>
        <v>2024.3345454545454</v>
      </c>
      <c r="D23" s="283">
        <f>(((C23/(E11*5))*1.1428571)*1.2)*1.5</f>
        <v>20.821725972432002</v>
      </c>
      <c r="E23" s="283">
        <f>D23*$E$22</f>
        <v>4.1643451944864003</v>
      </c>
      <c r="F23" s="284">
        <f>(D23+E23)*$F$22</f>
        <v>9.944456324433526</v>
      </c>
      <c r="G23" s="284">
        <f t="shared" ref="G23" si="3">D23+E23+F23</f>
        <v>34.930527491351931</v>
      </c>
      <c r="H23" s="284">
        <f>G23*$H$22</f>
        <v>10.63487691099418</v>
      </c>
      <c r="I23" s="285">
        <f>ROUND((G23+H23),2)</f>
        <v>45.57</v>
      </c>
      <c r="J23" s="277"/>
      <c r="K23" s="277"/>
      <c r="L23" s="277"/>
      <c r="M23" s="277"/>
      <c r="N23" s="277"/>
      <c r="O23" s="277"/>
      <c r="P23" s="277"/>
      <c r="Q23" s="278"/>
      <c r="R23" s="278"/>
      <c r="S23" s="267"/>
      <c r="T23" s="267"/>
      <c r="U23" s="267"/>
      <c r="V23" s="267"/>
      <c r="W23" s="267"/>
      <c r="X23" s="267"/>
    </row>
    <row r="24" spans="1:24" s="268" customFormat="1" ht="24.95" customHeight="1" thickBot="1" x14ac:dyDescent="0.3">
      <c r="A24" s="618" t="s">
        <v>159</v>
      </c>
      <c r="B24" s="618"/>
      <c r="C24" s="618"/>
      <c r="D24" s="618"/>
      <c r="E24" s="618"/>
      <c r="F24" s="618"/>
      <c r="G24" s="618"/>
      <c r="H24" s="618"/>
      <c r="I24" s="618"/>
      <c r="J24" s="277"/>
      <c r="K24" s="277"/>
      <c r="L24" s="277"/>
      <c r="M24" s="277"/>
      <c r="N24" s="277"/>
      <c r="O24" s="277"/>
      <c r="P24" s="277"/>
      <c r="Q24" s="277"/>
      <c r="R24" s="278"/>
      <c r="S24" s="267"/>
      <c r="T24" s="267"/>
      <c r="U24" s="267"/>
      <c r="V24" s="267"/>
      <c r="W24" s="267"/>
      <c r="X24" s="267"/>
    </row>
    <row r="25" spans="1:24" s="268" customFormat="1" ht="64.5" customHeight="1" thickTop="1" x14ac:dyDescent="0.2">
      <c r="A25" s="619" t="s">
        <v>139</v>
      </c>
      <c r="B25" s="619" t="s">
        <v>144</v>
      </c>
      <c r="C25" s="621" t="s">
        <v>18</v>
      </c>
      <c r="D25" s="613" t="s">
        <v>179</v>
      </c>
      <c r="E25" s="287" t="s">
        <v>145</v>
      </c>
      <c r="F25" s="287" t="s">
        <v>142</v>
      </c>
      <c r="G25" s="623" t="s">
        <v>141</v>
      </c>
      <c r="H25" s="288" t="s">
        <v>150</v>
      </c>
      <c r="I25" s="625" t="s">
        <v>166</v>
      </c>
      <c r="J25" s="277"/>
      <c r="K25" s="277"/>
      <c r="L25" s="277"/>
      <c r="M25" s="277"/>
      <c r="N25" s="277"/>
      <c r="O25" s="277"/>
      <c r="P25" s="277"/>
      <c r="Q25" s="277"/>
      <c r="R25" s="278"/>
      <c r="S25" s="267"/>
      <c r="T25" s="267"/>
      <c r="U25" s="267"/>
      <c r="V25" s="267"/>
      <c r="W25" s="267"/>
      <c r="X25" s="267"/>
    </row>
    <row r="26" spans="1:24" s="268" customFormat="1" ht="15" customHeight="1" x14ac:dyDescent="0.2">
      <c r="A26" s="620"/>
      <c r="B26" s="620"/>
      <c r="C26" s="622"/>
      <c r="D26" s="614"/>
      <c r="E26" s="251">
        <v>0.2</v>
      </c>
      <c r="F26" s="251">
        <f>'VALOR DO POSTO - ESTIMATIVA'!$D$43</f>
        <v>0.39800000000000008</v>
      </c>
      <c r="G26" s="624"/>
      <c r="H26" s="251">
        <f>LARGE('VALOR DO POSTO - ESTIMATIVA'!$D$107:$D$109,1)</f>
        <v>0.30445795339412363</v>
      </c>
      <c r="I26" s="614"/>
      <c r="J26" s="277"/>
      <c r="K26" s="277"/>
      <c r="L26" s="277"/>
      <c r="M26" s="277"/>
      <c r="N26" s="277"/>
      <c r="O26" s="277"/>
      <c r="P26" s="277"/>
      <c r="Q26" s="277"/>
      <c r="R26" s="278"/>
      <c r="S26" s="267"/>
      <c r="T26" s="267"/>
      <c r="U26" s="267"/>
      <c r="V26" s="267"/>
      <c r="W26" s="267"/>
      <c r="X26" s="267"/>
    </row>
    <row r="27" spans="1:24" s="268" customFormat="1" ht="15" customHeight="1" x14ac:dyDescent="0.2">
      <c r="A27" s="281">
        <v>1</v>
      </c>
      <c r="B27" s="282" t="str">
        <f>$B$11</f>
        <v>Designer Gráfico (CBO 2624-10) - 40hs</v>
      </c>
      <c r="C27" s="283">
        <f>'VALOR DO POSTO - ESTIMATIVA'!$E$25</f>
        <v>2024.3345454545454</v>
      </c>
      <c r="D27" s="283">
        <f>(((C27/(E11*5))*1.1428571)*1.2)*2</f>
        <v>27.762301296576002</v>
      </c>
      <c r="E27" s="283">
        <f>D27*$E$26</f>
        <v>5.5524602593152004</v>
      </c>
      <c r="F27" s="284">
        <f>(D27+E27)*$F$26</f>
        <v>13.2592750992447</v>
      </c>
      <c r="G27" s="284">
        <f t="shared" ref="G27" si="4">D27+E27+F27</f>
        <v>46.574036655135899</v>
      </c>
      <c r="H27" s="284">
        <f>G27*$H$26</f>
        <v>14.179835881325571</v>
      </c>
      <c r="I27" s="285">
        <f xml:space="preserve"> ROUND((G27+H27),2)</f>
        <v>60.75</v>
      </c>
      <c r="J27" s="277"/>
      <c r="K27" s="277"/>
      <c r="L27" s="277"/>
      <c r="M27" s="277"/>
      <c r="N27" s="277"/>
      <c r="O27" s="277"/>
      <c r="P27" s="277"/>
      <c r="Q27" s="277"/>
      <c r="R27" s="278"/>
      <c r="S27" s="267"/>
      <c r="T27" s="267"/>
      <c r="U27" s="267"/>
      <c r="V27" s="267"/>
      <c r="W27" s="267"/>
      <c r="X27" s="267"/>
    </row>
    <row r="28" spans="1:24" s="268" customFormat="1" ht="24.95" customHeight="1" thickBot="1" x14ac:dyDescent="0.3">
      <c r="A28" s="617" t="s">
        <v>167</v>
      </c>
      <c r="B28" s="617"/>
      <c r="C28" s="617"/>
      <c r="D28" s="617"/>
      <c r="E28" s="617"/>
      <c r="F28" s="617"/>
      <c r="G28" s="617"/>
      <c r="H28" s="617"/>
      <c r="I28" s="617"/>
      <c r="J28" s="626"/>
      <c r="K28" s="626"/>
      <c r="L28" s="626"/>
      <c r="M28" s="626"/>
      <c r="N28" s="626"/>
      <c r="O28" s="626"/>
      <c r="P28" s="626"/>
      <c r="Q28" s="626"/>
      <c r="R28" s="278"/>
      <c r="S28" s="267"/>
      <c r="T28" s="267"/>
      <c r="U28" s="267"/>
      <c r="V28" s="267"/>
      <c r="W28" s="267"/>
      <c r="X28" s="267"/>
    </row>
    <row r="29" spans="1:24" s="268" customFormat="1" ht="24.95" customHeight="1" thickTop="1" x14ac:dyDescent="0.2">
      <c r="A29" s="289"/>
      <c r="C29" s="627" t="s">
        <v>180</v>
      </c>
      <c r="D29" s="627"/>
      <c r="E29" s="627"/>
      <c r="F29" s="290"/>
      <c r="G29" s="627" t="s">
        <v>181</v>
      </c>
      <c r="H29" s="627"/>
      <c r="I29" s="627"/>
      <c r="J29" s="628"/>
      <c r="K29" s="628"/>
      <c r="L29" s="628"/>
      <c r="M29" s="628"/>
      <c r="N29" s="628"/>
      <c r="O29" s="628"/>
      <c r="P29" s="628"/>
      <c r="Q29" s="628"/>
      <c r="R29" s="278"/>
      <c r="S29" s="267"/>
      <c r="T29" s="267"/>
      <c r="U29" s="267"/>
      <c r="V29" s="267"/>
      <c r="W29" s="267"/>
      <c r="X29" s="267"/>
    </row>
    <row r="30" spans="1:24" s="268" customFormat="1" ht="57.75" customHeight="1" x14ac:dyDescent="0.2">
      <c r="A30" s="291" t="s">
        <v>139</v>
      </c>
      <c r="B30" s="292" t="s">
        <v>144</v>
      </c>
      <c r="C30" s="263" t="s">
        <v>168</v>
      </c>
      <c r="D30" s="263" t="s">
        <v>150</v>
      </c>
      <c r="E30" s="629" t="s">
        <v>169</v>
      </c>
      <c r="F30" s="276"/>
      <c r="G30" s="263" t="s">
        <v>168</v>
      </c>
      <c r="H30" s="263" t="s">
        <v>150</v>
      </c>
      <c r="I30" s="629" t="s">
        <v>170</v>
      </c>
      <c r="J30" s="293"/>
      <c r="K30" s="293"/>
      <c r="L30" s="293"/>
      <c r="M30" s="293"/>
      <c r="N30" s="293"/>
      <c r="O30" s="293"/>
      <c r="P30" s="293"/>
      <c r="Q30" s="293"/>
      <c r="R30" s="278"/>
      <c r="S30" s="267"/>
      <c r="T30" s="267"/>
      <c r="U30" s="267"/>
      <c r="V30" s="267"/>
      <c r="W30" s="267"/>
      <c r="X30" s="267"/>
    </row>
    <row r="31" spans="1:24" s="268" customFormat="1" ht="15" customHeight="1" x14ac:dyDescent="0.2">
      <c r="A31" s="294"/>
      <c r="B31" s="295"/>
      <c r="C31" s="296">
        <f>'VALOR DO POSTO - ESTIMATIVA'!D46*'VALOR DO POSTO - ESTIMATIVA'!D47</f>
        <v>9</v>
      </c>
      <c r="D31" s="251">
        <f>LARGE('VALOR DO POSTO - ESTIMATIVA'!$D$107:$D$109,1)</f>
        <v>0.30445795339412363</v>
      </c>
      <c r="E31" s="630"/>
      <c r="F31" s="297"/>
      <c r="G31" s="296">
        <f>'VALOR DO POSTO - ESTIMATIVA'!D48</f>
        <v>20</v>
      </c>
      <c r="H31" s="251">
        <f>LARGE('VALOR DO POSTO - ESTIMATIVA'!$D$107:$D$109,1)</f>
        <v>0.30445795339412363</v>
      </c>
      <c r="I31" s="630"/>
      <c r="J31" s="293"/>
      <c r="K31" s="293"/>
      <c r="L31" s="293"/>
      <c r="M31" s="293"/>
      <c r="N31" s="293"/>
      <c r="O31" s="293"/>
      <c r="P31" s="293"/>
      <c r="Q31" s="293"/>
      <c r="R31" s="278"/>
      <c r="S31" s="267"/>
      <c r="T31" s="267"/>
      <c r="U31" s="267"/>
      <c r="V31" s="267"/>
      <c r="W31" s="267"/>
      <c r="X31" s="267"/>
    </row>
    <row r="32" spans="1:24" s="268" customFormat="1" ht="15" customHeight="1" x14ac:dyDescent="0.2">
      <c r="A32" s="281">
        <v>1</v>
      </c>
      <c r="B32" s="282" t="str">
        <f>$B$11</f>
        <v>Designer Gráfico (CBO 2624-10) - 40hs</v>
      </c>
      <c r="C32" s="283">
        <f>$C$31</f>
        <v>9</v>
      </c>
      <c r="D32" s="283">
        <f>C32*$D$31</f>
        <v>2.7401215805471129</v>
      </c>
      <c r="E32" s="285">
        <f>ROUND((C32+D32),2)</f>
        <v>11.74</v>
      </c>
      <c r="F32" s="298"/>
      <c r="G32" s="283">
        <f>$G$31</f>
        <v>20</v>
      </c>
      <c r="H32" s="283">
        <f>G32*$H$31</f>
        <v>6.0891590678824725</v>
      </c>
      <c r="I32" s="285">
        <f>ROUND((G32+H32),2)</f>
        <v>26.09</v>
      </c>
      <c r="J32" s="293"/>
      <c r="K32" s="293"/>
      <c r="L32" s="293"/>
      <c r="M32" s="293"/>
      <c r="N32" s="293"/>
      <c r="O32" s="293"/>
      <c r="P32" s="293"/>
      <c r="Q32" s="293"/>
      <c r="R32" s="278"/>
      <c r="S32" s="267"/>
      <c r="T32" s="267"/>
      <c r="U32" s="267"/>
      <c r="V32" s="267"/>
      <c r="W32" s="267"/>
      <c r="X32" s="267"/>
    </row>
    <row r="33" spans="1:24" s="268" customFormat="1" ht="15" customHeight="1" x14ac:dyDescent="0.2">
      <c r="A33" s="271"/>
      <c r="B33" s="271"/>
      <c r="C33" s="271"/>
      <c r="D33" s="271"/>
      <c r="E33" s="271"/>
      <c r="F33" s="271"/>
      <c r="G33" s="271"/>
      <c r="H33" s="299"/>
      <c r="I33" s="299"/>
      <c r="J33" s="300"/>
      <c r="K33" s="300"/>
      <c r="L33" s="300"/>
      <c r="M33" s="300"/>
      <c r="N33" s="300"/>
      <c r="O33" s="300"/>
      <c r="P33" s="300"/>
      <c r="Q33" s="300"/>
      <c r="R33" s="278"/>
      <c r="S33" s="267"/>
      <c r="T33" s="267"/>
      <c r="U33" s="267"/>
      <c r="V33" s="267"/>
      <c r="W33" s="267"/>
      <c r="X33" s="267"/>
    </row>
    <row r="34" spans="1:24" s="268" customFormat="1" ht="15" customHeight="1" x14ac:dyDescent="0.2">
      <c r="A34" s="271"/>
      <c r="B34" s="610" t="s">
        <v>183</v>
      </c>
      <c r="C34" s="610"/>
      <c r="D34" s="610"/>
      <c r="E34" s="610"/>
      <c r="F34" s="610"/>
      <c r="G34" s="610"/>
      <c r="H34" s="610"/>
      <c r="I34" s="610"/>
      <c r="J34" s="300"/>
      <c r="K34" s="300"/>
      <c r="L34" s="300"/>
      <c r="M34" s="300"/>
      <c r="N34" s="300"/>
      <c r="O34" s="300"/>
      <c r="P34" s="300"/>
      <c r="Q34" s="300"/>
      <c r="R34" s="300"/>
      <c r="S34" s="300"/>
      <c r="T34" s="267"/>
      <c r="U34" s="267"/>
      <c r="V34" s="267"/>
      <c r="W34" s="267"/>
      <c r="X34" s="267"/>
    </row>
    <row r="35" spans="1:24" s="268" customFormat="1" ht="15" customHeight="1" x14ac:dyDescent="0.2">
      <c r="A35" s="271"/>
      <c r="B35" s="615" t="s">
        <v>313</v>
      </c>
      <c r="C35" s="615"/>
      <c r="D35" s="615"/>
      <c r="E35" s="615"/>
      <c r="F35" s="615"/>
      <c r="G35" s="615"/>
      <c r="H35" s="615"/>
      <c r="I35" s="615"/>
      <c r="J35" s="301"/>
      <c r="K35" s="300"/>
      <c r="L35" s="300"/>
      <c r="M35" s="300"/>
      <c r="N35" s="300"/>
      <c r="O35" s="300"/>
      <c r="P35" s="300"/>
      <c r="Q35" s="300"/>
      <c r="R35" s="300"/>
      <c r="S35" s="300"/>
      <c r="T35" s="267"/>
      <c r="U35" s="267"/>
      <c r="V35" s="267"/>
      <c r="W35" s="267"/>
      <c r="X35" s="267"/>
    </row>
    <row r="36" spans="1:24" s="268" customFormat="1" ht="15" customHeight="1" x14ac:dyDescent="0.2">
      <c r="A36" s="271"/>
      <c r="B36" s="615" t="s">
        <v>182</v>
      </c>
      <c r="C36" s="615"/>
      <c r="D36" s="615"/>
      <c r="E36" s="615"/>
      <c r="F36" s="615"/>
      <c r="G36" s="615"/>
      <c r="H36" s="615"/>
      <c r="I36" s="615"/>
      <c r="J36" s="300"/>
      <c r="K36" s="300"/>
      <c r="L36" s="300"/>
      <c r="M36" s="300"/>
      <c r="N36" s="300"/>
      <c r="O36" s="300"/>
      <c r="P36" s="300"/>
      <c r="Q36" s="300"/>
      <c r="R36" s="300"/>
      <c r="S36" s="300"/>
      <c r="T36" s="267"/>
      <c r="U36" s="267"/>
      <c r="V36" s="267"/>
      <c r="W36" s="267"/>
      <c r="X36" s="267"/>
    </row>
    <row r="37" spans="1:24" s="268" customFormat="1" ht="15" customHeight="1" x14ac:dyDescent="0.2">
      <c r="A37" s="271"/>
      <c r="B37" s="616" t="s">
        <v>314</v>
      </c>
      <c r="C37" s="616"/>
      <c r="D37" s="616"/>
      <c r="E37" s="616"/>
      <c r="F37" s="616"/>
      <c r="G37" s="616"/>
      <c r="H37" s="616"/>
      <c r="I37" s="616"/>
      <c r="J37" s="267"/>
      <c r="K37" s="267"/>
      <c r="L37" s="267"/>
      <c r="M37" s="267"/>
      <c r="N37" s="267"/>
      <c r="O37" s="267"/>
      <c r="P37" s="267"/>
      <c r="Q37" s="267"/>
      <c r="R37" s="300"/>
      <c r="S37" s="300"/>
      <c r="T37" s="302"/>
      <c r="U37" s="303"/>
      <c r="V37" s="267"/>
      <c r="W37" s="267"/>
      <c r="X37" s="267"/>
    </row>
    <row r="38" spans="1:24" s="268" customFormat="1" ht="15" customHeight="1" x14ac:dyDescent="0.2">
      <c r="A38" s="271"/>
      <c r="B38" s="610" t="s">
        <v>192</v>
      </c>
      <c r="C38" s="610"/>
      <c r="D38" s="610"/>
      <c r="E38" s="610"/>
      <c r="F38" s="610"/>
      <c r="G38" s="610"/>
      <c r="H38" s="610"/>
      <c r="I38" s="610"/>
      <c r="J38" s="267"/>
      <c r="K38" s="267"/>
      <c r="L38" s="267"/>
      <c r="M38" s="267"/>
      <c r="N38" s="267"/>
      <c r="O38" s="267"/>
      <c r="P38" s="267"/>
      <c r="Q38" s="267"/>
      <c r="R38" s="300"/>
      <c r="S38" s="300"/>
      <c r="T38" s="302"/>
      <c r="U38" s="303"/>
      <c r="V38" s="267"/>
      <c r="W38" s="267"/>
      <c r="X38" s="267"/>
    </row>
    <row r="39" spans="1:24" x14ac:dyDescent="0.2">
      <c r="B39" s="304"/>
      <c r="C39" s="304"/>
      <c r="D39" s="304"/>
      <c r="E39" s="304"/>
      <c r="F39" s="304"/>
      <c r="G39" s="304"/>
      <c r="H39" s="304"/>
      <c r="I39" s="304"/>
      <c r="S39" s="300"/>
      <c r="T39" s="305"/>
      <c r="U39" s="306"/>
    </row>
    <row r="40" spans="1:24" x14ac:dyDescent="0.2">
      <c r="B40" s="304"/>
      <c r="C40" s="304"/>
      <c r="D40" s="304"/>
      <c r="E40" s="304"/>
      <c r="F40" s="304"/>
      <c r="G40" s="304"/>
      <c r="H40" s="304"/>
      <c r="I40" s="304"/>
    </row>
    <row r="41" spans="1:24" x14ac:dyDescent="0.2">
      <c r="B41" s="304"/>
      <c r="C41" s="304"/>
      <c r="D41" s="304"/>
      <c r="E41" s="304"/>
      <c r="F41" s="304"/>
      <c r="G41" s="304"/>
      <c r="H41" s="304"/>
      <c r="I41" s="304"/>
      <c r="T41" s="305"/>
      <c r="U41" s="305"/>
    </row>
    <row r="49" spans="1:16" s="264" customFormat="1" x14ac:dyDescent="0.2">
      <c r="A49" s="265"/>
      <c r="B49" s="265"/>
      <c r="C49" s="265"/>
      <c r="D49" s="265"/>
      <c r="E49" s="265"/>
      <c r="F49" s="265"/>
      <c r="G49" s="265"/>
      <c r="H49" s="265"/>
      <c r="I49" s="265"/>
      <c r="J49" s="307"/>
      <c r="K49" s="307"/>
      <c r="L49" s="307"/>
      <c r="M49" s="307"/>
      <c r="N49" s="307"/>
      <c r="O49" s="307"/>
      <c r="P49" s="307"/>
    </row>
    <row r="54" spans="1:16" s="264" customFormat="1" x14ac:dyDescent="0.2">
      <c r="A54" s="265"/>
      <c r="B54" s="265"/>
      <c r="C54" s="265"/>
      <c r="D54" s="265"/>
      <c r="E54" s="265"/>
      <c r="F54" s="265"/>
      <c r="G54" s="265"/>
      <c r="H54" s="308"/>
      <c r="I54" s="308"/>
    </row>
    <row r="56" spans="1:16" s="264" customFormat="1" x14ac:dyDescent="0.2">
      <c r="A56" s="265"/>
      <c r="B56" s="309"/>
      <c r="C56" s="308"/>
      <c r="D56" s="308"/>
      <c r="E56" s="308"/>
      <c r="F56" s="308"/>
      <c r="G56" s="308"/>
      <c r="H56" s="265"/>
      <c r="I56" s="265"/>
    </row>
  </sheetData>
  <sheetProtection algorithmName="SHA-512" hashValue="hQrit4N7+3O4UsCevjTqTs4xP07zPCjIeV8G2nrVLuVX0bIh/C6xk82cZ07vOBy1/cor/pBAJTDD0qaeXDvOFQ==" saltValue="dpd/VH+eMWVUbrbFzYLB8w==" spinCount="100000" sheet="1" objects="1" scenarios="1" selectLockedCells="1"/>
  <mergeCells count="50">
    <mergeCell ref="A8:I8"/>
    <mergeCell ref="A1:I1"/>
    <mergeCell ref="A2:I2"/>
    <mergeCell ref="A3:I3"/>
    <mergeCell ref="A5:I5"/>
    <mergeCell ref="A6:I6"/>
    <mergeCell ref="B10:D10"/>
    <mergeCell ref="E10:F10"/>
    <mergeCell ref="B11:D11"/>
    <mergeCell ref="E11:F11"/>
    <mergeCell ref="A12:I12"/>
    <mergeCell ref="A13:A14"/>
    <mergeCell ref="B13:B14"/>
    <mergeCell ref="C13:C14"/>
    <mergeCell ref="G13:G14"/>
    <mergeCell ref="I13:I14"/>
    <mergeCell ref="A16:I16"/>
    <mergeCell ref="A17:A18"/>
    <mergeCell ref="B17:B18"/>
    <mergeCell ref="C17:C18"/>
    <mergeCell ref="G17:G18"/>
    <mergeCell ref="I17:I18"/>
    <mergeCell ref="A20:I20"/>
    <mergeCell ref="A21:A22"/>
    <mergeCell ref="B21:B22"/>
    <mergeCell ref="C21:C22"/>
    <mergeCell ref="G21:G22"/>
    <mergeCell ref="I21:I22"/>
    <mergeCell ref="J28:Q28"/>
    <mergeCell ref="C29:E29"/>
    <mergeCell ref="G29:I29"/>
    <mergeCell ref="J29:Q29"/>
    <mergeCell ref="E30:E31"/>
    <mergeCell ref="I30:I31"/>
    <mergeCell ref="B38:I38"/>
    <mergeCell ref="D13:D14"/>
    <mergeCell ref="D17:D18"/>
    <mergeCell ref="D21:D22"/>
    <mergeCell ref="D25:D26"/>
    <mergeCell ref="B35:I35"/>
    <mergeCell ref="B36:I36"/>
    <mergeCell ref="B37:I37"/>
    <mergeCell ref="B34:I34"/>
    <mergeCell ref="A28:I28"/>
    <mergeCell ref="A24:I24"/>
    <mergeCell ref="A25:A26"/>
    <mergeCell ref="B25:B26"/>
    <mergeCell ref="C25:C26"/>
    <mergeCell ref="G25:G26"/>
    <mergeCell ref="I25:I26"/>
  </mergeCells>
  <dataValidations count="1">
    <dataValidation allowBlank="1" showInputMessage="1" showErrorMessage="1" errorTitle="Pare !!!" error="Pare !!!" sqref="U41"/>
  </dataValidations>
  <printOptions horizontalCentered="1"/>
  <pageMargins left="0.19685039370078741" right="0.19685039370078741" top="0.78740157480314965" bottom="0.23622047244094491" header="0.31496062992125984" footer="7.874015748031496E-2"/>
  <pageSetup paperSize="9" scale="59" orientation="portrait" r:id="rId1"/>
  <headerFooter>
    <oddHeader>&amp;C&amp;G&amp;R&amp;8&amp;P</oddHeader>
    <oddFooter>&amp;L&amp;G
   &amp;"Arial,Negrito"&amp;8&amp;K04+000SGEC/COC/SECOFC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81" t="s">
        <v>119</v>
      </c>
      <c r="B1" s="582"/>
      <c r="C1" s="582"/>
      <c r="D1" s="582"/>
      <c r="E1" s="583"/>
    </row>
    <row r="2" spans="1:7" ht="12.75" x14ac:dyDescent="0.2">
      <c r="A2" s="122" t="s">
        <v>15</v>
      </c>
      <c r="B2" s="584"/>
      <c r="C2" s="585"/>
      <c r="D2" s="585"/>
      <c r="E2" s="586"/>
    </row>
    <row r="3" spans="1:7" ht="12.75" x14ac:dyDescent="0.2">
      <c r="A3" s="123" t="s">
        <v>16</v>
      </c>
      <c r="B3" s="587"/>
      <c r="C3" s="588"/>
      <c r="D3" s="588"/>
      <c r="E3" s="589"/>
    </row>
    <row r="4" spans="1:7" x14ac:dyDescent="0.2">
      <c r="A4" s="123" t="s">
        <v>17</v>
      </c>
      <c r="B4" s="590" t="e">
        <f>#REF!</f>
        <v>#REF!</v>
      </c>
      <c r="C4" s="591"/>
      <c r="D4" s="591"/>
      <c r="E4" s="592"/>
    </row>
    <row r="5" spans="1:7" ht="12.75" x14ac:dyDescent="0.2">
      <c r="A5" s="124" t="s">
        <v>109</v>
      </c>
      <c r="B5" s="576"/>
      <c r="C5" s="577"/>
      <c r="D5" s="577"/>
      <c r="E5" s="578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79" t="str">
        <f>'item 2 - he 100%'!A8:D8</f>
        <v>Tecnicos de Eleição</v>
      </c>
      <c r="B8" s="580"/>
      <c r="C8" s="580"/>
      <c r="D8" s="580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98" t="s">
        <v>136</v>
      </c>
      <c r="B1" s="599"/>
      <c r="C1" s="599"/>
      <c r="D1" s="599"/>
      <c r="E1" s="600"/>
    </row>
    <row r="2" spans="1:7" ht="12.75" x14ac:dyDescent="0.2">
      <c r="A2" s="218" t="s">
        <v>15</v>
      </c>
      <c r="B2" s="601"/>
      <c r="C2" s="602"/>
      <c r="D2" s="602"/>
      <c r="E2" s="603"/>
    </row>
    <row r="3" spans="1:7" ht="12.75" x14ac:dyDescent="0.2">
      <c r="A3" s="219" t="s">
        <v>16</v>
      </c>
      <c r="B3" s="604"/>
      <c r="C3" s="605"/>
      <c r="D3" s="605"/>
      <c r="E3" s="606"/>
    </row>
    <row r="4" spans="1:7" x14ac:dyDescent="0.2">
      <c r="A4" s="219" t="s">
        <v>17</v>
      </c>
      <c r="B4" s="607" t="e">
        <f>#REF!</f>
        <v>#REF!</v>
      </c>
      <c r="C4" s="608"/>
      <c r="D4" s="608"/>
      <c r="E4" s="609"/>
    </row>
    <row r="5" spans="1:7" ht="12.75" x14ac:dyDescent="0.2">
      <c r="A5" s="220" t="s">
        <v>109</v>
      </c>
      <c r="B5" s="593"/>
      <c r="C5" s="594"/>
      <c r="D5" s="594"/>
      <c r="E5" s="595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96" t="s">
        <v>131</v>
      </c>
      <c r="B8" s="597"/>
      <c r="C8" s="597"/>
      <c r="D8" s="597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VALOR DO POSTO - ESTIMATIVA</vt:lpstr>
      <vt:lpstr>BASE CALC FG - ESTIMATIVA</vt:lpstr>
      <vt:lpstr>Item 1 - he 50%</vt:lpstr>
      <vt:lpstr>item 1 - he 100%</vt:lpstr>
      <vt:lpstr>HORA EXTRA - ESTIMATIVA</vt:lpstr>
      <vt:lpstr>Item 2 - he 50%</vt:lpstr>
      <vt:lpstr>item 2 - he 100%</vt:lpstr>
      <vt:lpstr>'BASE CALC FG - ESTIMATIVA'!Area_de_impressao</vt:lpstr>
      <vt:lpstr>'HORA EXTRA - ESTIMATIVA'!Area_de_impressao</vt:lpstr>
      <vt:lpstr>'VALOR DO POSTO - ESTIMATIVA'!Area_de_impressao</vt:lpstr>
      <vt:lpstr>'BASE CALC FG - ESTIMATIVA'!Titulos_de_impressao</vt:lpstr>
      <vt:lpstr>'VALOR DO POSTO - ESTIMATIVA'!Titulos_de_impressao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samc</cp:lastModifiedBy>
  <cp:lastPrinted>2020-02-20T18:20:43Z</cp:lastPrinted>
  <dcterms:created xsi:type="dcterms:W3CDTF">2002-06-10T15:51:10Z</dcterms:created>
  <dcterms:modified xsi:type="dcterms:W3CDTF">2020-05-20T18:46:59Z</dcterms:modified>
</cp:coreProperties>
</file>