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SELED\Arquivos que estavam na pasta SLIC\Edu\SLIC\PAD 2022 - 4140\Publicação\Comprasnet\"/>
    </mc:Choice>
  </mc:AlternateContent>
  <bookViews>
    <workbookView xWindow="0" yWindow="0" windowWidth="16380" windowHeight="7455" tabRatio="500"/>
  </bookViews>
  <sheets>
    <sheet name="Postos" sheetId="2" r:id="rId1"/>
    <sheet name="Encargos Sociais" sheetId="4" r:id="rId2"/>
    <sheet name="CITL" sheetId="5" r:id="rId3"/>
    <sheet name="Insumos" sheetId="6" r:id="rId4"/>
    <sheet name="Hora Extra" sheetId="7" r:id="rId5"/>
    <sheet name="Fiscalização" sheetId="8" r:id="rId6"/>
  </sheets>
  <definedNames>
    <definedName name="_xlnm.Print_Area" localSheetId="2">CITL!$A$1:$B$21</definedName>
    <definedName name="_xlnm.Print_Area" localSheetId="1">'Encargos Sociais'!$A$1:$H$70</definedName>
    <definedName name="_xlnm.Print_Area" localSheetId="5">Fiscalização!$A$1:$E$20</definedName>
    <definedName name="_xlnm.Print_Area" localSheetId="4">'Hora Extra'!$A$1:$H$39</definedName>
    <definedName name="_xlnm.Print_Area" localSheetId="3">Insumos!$A$1:$K$97</definedName>
    <definedName name="_xlnm.Print_Area" localSheetId="0">Postos!$A$1:$W$60</definedName>
    <definedName name="_xlnm.Print_Titles" localSheetId="1">'Encargos Sociais'!$1:$4</definedName>
    <definedName name="_xlnm.Print_Titles" localSheetId="4">'Hora Extra'!$1:$3</definedName>
    <definedName name="_xlnm.Print_Titles" localSheetId="3">Insumos!$1:$4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B41" i="2" l="1"/>
  <c r="E41" i="2" s="1"/>
  <c r="B40" i="2"/>
  <c r="E40" i="2" s="1"/>
  <c r="D45" i="2" l="1"/>
  <c r="D44" i="2"/>
  <c r="F76" i="6"/>
  <c r="F80" i="6"/>
  <c r="F84" i="6"/>
  <c r="F88" i="6"/>
  <c r="F92" i="6"/>
  <c r="F74" i="6"/>
  <c r="K76" i="6"/>
  <c r="K77" i="6"/>
  <c r="F77" i="6" s="1"/>
  <c r="K78" i="6"/>
  <c r="F78" i="6" s="1"/>
  <c r="K79" i="6"/>
  <c r="F79" i="6" s="1"/>
  <c r="K80" i="6"/>
  <c r="K81" i="6"/>
  <c r="F81" i="6" s="1"/>
  <c r="K82" i="6"/>
  <c r="F82" i="6" s="1"/>
  <c r="K83" i="6"/>
  <c r="F83" i="6" s="1"/>
  <c r="K84" i="6"/>
  <c r="K85" i="6"/>
  <c r="F85" i="6" s="1"/>
  <c r="K86" i="6"/>
  <c r="F86" i="6" s="1"/>
  <c r="K87" i="6"/>
  <c r="F87" i="6" s="1"/>
  <c r="K88" i="6"/>
  <c r="K89" i="6"/>
  <c r="F89" i="6" s="1"/>
  <c r="K90" i="6"/>
  <c r="F90" i="6" s="1"/>
  <c r="K91" i="6"/>
  <c r="F91" i="6" s="1"/>
  <c r="K92" i="6"/>
  <c r="K93" i="6"/>
  <c r="F93" i="6" s="1"/>
  <c r="K94" i="6"/>
  <c r="F94" i="6" s="1"/>
  <c r="K95" i="6"/>
  <c r="F95" i="6" s="1"/>
  <c r="K75" i="6"/>
  <c r="F75" i="6" s="1"/>
  <c r="K74" i="6"/>
  <c r="F96" i="6" l="1"/>
  <c r="O15" i="2" s="1"/>
  <c r="K42" i="6"/>
  <c r="F42" i="6" s="1"/>
  <c r="K43" i="6"/>
  <c r="F43" i="6" s="1"/>
  <c r="K44" i="6"/>
  <c r="F44" i="6" s="1"/>
  <c r="K45" i="6"/>
  <c r="K46" i="6"/>
  <c r="F46" i="6" s="1"/>
  <c r="K47" i="6"/>
  <c r="F47" i="6" s="1"/>
  <c r="K48" i="6"/>
  <c r="F48" i="6" s="1"/>
  <c r="K49" i="6"/>
  <c r="K50" i="6"/>
  <c r="F50" i="6" s="1"/>
  <c r="K51" i="6"/>
  <c r="F51" i="6" s="1"/>
  <c r="K52" i="6"/>
  <c r="F52" i="6" s="1"/>
  <c r="K53" i="6"/>
  <c r="K54" i="6"/>
  <c r="F54" i="6" s="1"/>
  <c r="K55" i="6"/>
  <c r="F55" i="6" s="1"/>
  <c r="K56" i="6"/>
  <c r="F56" i="6" s="1"/>
  <c r="K57" i="6"/>
  <c r="K58" i="6"/>
  <c r="F58" i="6" s="1"/>
  <c r="K59" i="6"/>
  <c r="F59" i="6" s="1"/>
  <c r="K60" i="6"/>
  <c r="F60" i="6" s="1"/>
  <c r="K61" i="6"/>
  <c r="K62" i="6"/>
  <c r="F62" i="6" s="1"/>
  <c r="K63" i="6"/>
  <c r="F63" i="6" s="1"/>
  <c r="K64" i="6"/>
  <c r="F64" i="6" s="1"/>
  <c r="K65" i="6"/>
  <c r="K66" i="6"/>
  <c r="F66" i="6" s="1"/>
  <c r="K67" i="6"/>
  <c r="F67" i="6" s="1"/>
  <c r="K68" i="6"/>
  <c r="F68" i="6" s="1"/>
  <c r="K69" i="6"/>
  <c r="K70" i="6"/>
  <c r="F70" i="6" s="1"/>
  <c r="F45" i="6"/>
  <c r="F49" i="6"/>
  <c r="F53" i="6"/>
  <c r="F57" i="6"/>
  <c r="F61" i="6"/>
  <c r="F65" i="6"/>
  <c r="F69" i="6"/>
  <c r="K41" i="6"/>
  <c r="F41" i="6" s="1"/>
  <c r="K40" i="6"/>
  <c r="F40" i="6" s="1"/>
  <c r="K36" i="6"/>
  <c r="F36" i="6" s="1"/>
  <c r="K35" i="6"/>
  <c r="F35" i="6"/>
  <c r="K34" i="6"/>
  <c r="F34" i="6" s="1"/>
  <c r="K33" i="6"/>
  <c r="F33" i="6"/>
  <c r="K32" i="6"/>
  <c r="F32" i="6" s="1"/>
  <c r="K31" i="6"/>
  <c r="F31" i="6" s="1"/>
  <c r="K30" i="6"/>
  <c r="F30" i="6"/>
  <c r="K22" i="6"/>
  <c r="F22" i="6" s="1"/>
  <c r="K23" i="6"/>
  <c r="K24" i="6"/>
  <c r="F24" i="6" s="1"/>
  <c r="K25" i="6"/>
  <c r="F25" i="6" s="1"/>
  <c r="K26" i="6"/>
  <c r="F26" i="6" s="1"/>
  <c r="K21" i="6"/>
  <c r="K20" i="6"/>
  <c r="F37" i="6" l="1"/>
  <c r="F71" i="6"/>
  <c r="N15" i="2" s="1"/>
  <c r="F23" i="6"/>
  <c r="F21" i="6"/>
  <c r="F20" i="6"/>
  <c r="F27" i="6" l="1"/>
  <c r="M15" i="2" s="1"/>
  <c r="E44" i="2"/>
  <c r="E45" i="2"/>
  <c r="K17" i="6" l="1"/>
  <c r="F17" i="6" s="1"/>
  <c r="Q15" i="2" s="1"/>
  <c r="J20" i="2" l="1"/>
  <c r="J19" i="2"/>
  <c r="H20" i="2"/>
  <c r="H19" i="2"/>
  <c r="B17" i="2" l="1"/>
  <c r="M17" i="2" l="1"/>
  <c r="O17" i="2"/>
  <c r="N17" i="2"/>
  <c r="A45" i="2"/>
  <c r="Q20" i="2"/>
  <c r="R20" i="2"/>
  <c r="C20" i="2"/>
  <c r="C17" i="2"/>
  <c r="L20" i="2" l="1"/>
  <c r="E20" i="2"/>
  <c r="D20" i="2"/>
  <c r="F32" i="7"/>
  <c r="C16" i="8"/>
  <c r="C17" i="8"/>
  <c r="B9" i="8"/>
  <c r="A44" i="2"/>
  <c r="A37" i="2"/>
  <c r="P20" i="2" l="1"/>
  <c r="P19" i="2"/>
  <c r="A6" i="8"/>
  <c r="A5" i="8"/>
  <c r="A3" i="8"/>
  <c r="A2" i="8"/>
  <c r="A1" i="8"/>
  <c r="A6" i="7"/>
  <c r="A5" i="7"/>
  <c r="A3" i="7"/>
  <c r="A2" i="7"/>
  <c r="A1" i="7"/>
  <c r="A3" i="6"/>
  <c r="A2" i="6"/>
  <c r="A3" i="5"/>
  <c r="A2" i="5"/>
  <c r="A6" i="4"/>
  <c r="A5" i="4"/>
  <c r="A3" i="4"/>
  <c r="A2" i="4"/>
  <c r="A1" i="4"/>
  <c r="B32" i="7" l="1"/>
  <c r="A11" i="7"/>
  <c r="A27" i="7" s="1"/>
  <c r="K5" i="6"/>
  <c r="A1" i="6"/>
  <c r="B18" i="5"/>
  <c r="A1" i="5"/>
  <c r="F57" i="4"/>
  <c r="F46" i="4"/>
  <c r="F43" i="4"/>
  <c r="F42" i="4"/>
  <c r="F29" i="4"/>
  <c r="F21" i="4"/>
  <c r="F23" i="4" s="1"/>
  <c r="S17" i="2"/>
  <c r="V15" i="2"/>
  <c r="K6" i="6"/>
  <c r="R17" i="2" l="1"/>
  <c r="H17" i="2"/>
  <c r="Q17" i="2"/>
  <c r="A23" i="7"/>
  <c r="A15" i="7"/>
  <c r="A32" i="7"/>
  <c r="E26" i="7"/>
  <c r="F36" i="4"/>
  <c r="F37" i="4" s="1"/>
  <c r="F65" i="4" s="1"/>
  <c r="F45" i="4"/>
  <c r="F48" i="4" s="1"/>
  <c r="F66" i="4" s="1"/>
  <c r="E18" i="7"/>
  <c r="A5" i="5"/>
  <c r="A8" i="6"/>
  <c r="B27" i="7"/>
  <c r="C27" i="7" s="1"/>
  <c r="B19" i="7"/>
  <c r="C19" i="7" s="1"/>
  <c r="C14" i="8"/>
  <c r="C15" i="8" s="1"/>
  <c r="B23" i="7"/>
  <c r="C23" i="7" s="1"/>
  <c r="B15" i="7"/>
  <c r="C15" i="7" s="1"/>
  <c r="J17" i="2"/>
  <c r="A6" i="5"/>
  <c r="A9" i="6"/>
  <c r="E22" i="7"/>
  <c r="E14" i="7"/>
  <c r="F63" i="4"/>
  <c r="F58" i="4"/>
  <c r="F59" i="4" s="1"/>
  <c r="F67" i="4" s="1"/>
  <c r="G31" i="7"/>
  <c r="G32" i="7" s="1"/>
  <c r="H32" i="7" s="1"/>
  <c r="G22" i="7"/>
  <c r="G14" i="7"/>
  <c r="C31" i="7"/>
  <c r="G26" i="7"/>
  <c r="G18" i="7"/>
  <c r="F30" i="4"/>
  <c r="F31" i="4" s="1"/>
  <c r="F64" i="4" s="1"/>
  <c r="A19" i="7"/>
  <c r="C19" i="2" l="1"/>
  <c r="T20" i="2"/>
  <c r="R19" i="2"/>
  <c r="Q19" i="2"/>
  <c r="C32" i="7"/>
  <c r="D32" i="7" s="1"/>
  <c r="C18" i="8"/>
  <c r="C19" i="8" s="1"/>
  <c r="D15" i="7"/>
  <c r="E15" i="7" s="1"/>
  <c r="F15" i="7" s="1"/>
  <c r="D27" i="7"/>
  <c r="D19" i="7"/>
  <c r="F68" i="4"/>
  <c r="D23" i="7"/>
  <c r="E23" i="7" s="1"/>
  <c r="F23" i="7" s="1"/>
  <c r="E19" i="2" l="1"/>
  <c r="L19" i="2"/>
  <c r="T19" i="2" s="1"/>
  <c r="D19" i="2"/>
  <c r="C20" i="8"/>
  <c r="G23" i="7"/>
  <c r="H23" i="7" s="1"/>
  <c r="G15" i="7"/>
  <c r="H15" i="7" s="1"/>
  <c r="E27" i="7"/>
  <c r="F27" i="7" s="1"/>
  <c r="F15" i="2"/>
  <c r="E19" i="7"/>
  <c r="F19" i="7" s="1"/>
  <c r="F20" i="2" l="1"/>
  <c r="G20" i="2" s="1"/>
  <c r="U20" i="2" s="1"/>
  <c r="V20" i="2" s="1"/>
  <c r="W20" i="2" s="1"/>
  <c r="B45" i="2" s="1"/>
  <c r="C45" i="2" s="1"/>
  <c r="F45" i="2" s="1"/>
  <c r="H45" i="2" s="1"/>
  <c r="L45" i="2" s="1"/>
  <c r="F19" i="2"/>
  <c r="F17" i="2"/>
  <c r="G17" i="2" s="1"/>
  <c r="G19" i="7"/>
  <c r="H19" i="7" s="1"/>
  <c r="G27" i="7"/>
  <c r="H27" i="7" s="1"/>
  <c r="G19" i="2" l="1"/>
  <c r="U19" i="2" s="1"/>
  <c r="V19" i="2" l="1"/>
  <c r="W19" i="2" s="1"/>
  <c r="B44" i="2" l="1"/>
  <c r="C44" i="2" s="1"/>
  <c r="F44" i="2" s="1"/>
  <c r="H44" i="2" s="1"/>
  <c r="L44" i="2" l="1"/>
  <c r="H46" i="2"/>
  <c r="K14" i="6" l="1"/>
  <c r="E14" i="6" s="1"/>
  <c r="F14" i="6" s="1"/>
  <c r="P15" i="2" s="1"/>
  <c r="P17" i="2" s="1"/>
  <c r="T17" i="2" l="1"/>
  <c r="U17" i="2" s="1"/>
  <c r="V17" i="2" s="1"/>
  <c r="W17" i="2" s="1"/>
  <c r="B37" i="2" s="1"/>
  <c r="D37" i="2" s="1"/>
  <c r="F37" i="2" s="1"/>
  <c r="O45" i="2" l="1"/>
  <c r="F48" i="2"/>
</calcChain>
</file>

<file path=xl/comments1.xml><?xml version="1.0" encoding="utf-8"?>
<comments xmlns="http://schemas.openxmlformats.org/spreadsheetml/2006/main">
  <authors>
    <author>Ana Maria</author>
  </authors>
  <commentList>
    <comment ref="H19" authorId="0" shapeId="0">
      <text>
        <r>
          <rPr>
            <b/>
            <sz val="9"/>
            <color indexed="81"/>
            <rFont val="Segoe UI"/>
            <family val="2"/>
          </rPr>
          <t>Ana Maria:</t>
        </r>
        <r>
          <rPr>
            <sz val="9"/>
            <color indexed="81"/>
            <rFont val="Segoe UI"/>
            <family val="2"/>
          </rPr>
          <t xml:space="preserve">
Considerando 15 dias.</t>
        </r>
      </text>
    </comment>
    <comment ref="J19" authorId="0" shapeId="0">
      <text>
        <r>
          <rPr>
            <b/>
            <sz val="9"/>
            <color indexed="81"/>
            <rFont val="Segoe UI"/>
            <family val="2"/>
          </rPr>
          <t>Ana Maria:</t>
        </r>
        <r>
          <rPr>
            <sz val="9"/>
            <color indexed="81"/>
            <rFont val="Segoe UI"/>
            <family val="2"/>
          </rPr>
          <t xml:space="preserve">
Considerando 15 dias.</t>
        </r>
      </text>
    </comment>
  </commentList>
</comments>
</file>

<file path=xl/comments2.xml><?xml version="1.0" encoding="utf-8"?>
<comments xmlns="http://schemas.openxmlformats.org/spreadsheetml/2006/main">
  <authors>
    <author>Ana Maria</author>
  </authors>
  <commentList>
    <comment ref="H12" authorId="0" shapeId="0">
      <text>
        <r>
          <rPr>
            <sz val="9"/>
            <color indexed="81"/>
            <rFont val="Segoe UI"/>
            <family val="2"/>
          </rPr>
          <t>NAPEM
Se não tiver preço, deixe o campo em branco. Caso informe R$0,00, a fórmula calculará a Média com o 0,00.</t>
        </r>
      </text>
    </comment>
  </commentList>
</comments>
</file>

<file path=xl/sharedStrings.xml><?xml version="1.0" encoding="utf-8"?>
<sst xmlns="http://schemas.openxmlformats.org/spreadsheetml/2006/main" count="431" uniqueCount="325">
  <si>
    <t>Planilha de Custos e Formação de Preços - Estimativa TRE-PR</t>
  </si>
  <si>
    <t>PAD:</t>
  </si>
  <si>
    <t>Licitação:</t>
  </si>
  <si>
    <t>Data da Proposta:</t>
  </si>
  <si>
    <t>Empresa</t>
  </si>
  <si>
    <t>CNPJ</t>
  </si>
  <si>
    <t>PERÍODO REGULAR</t>
  </si>
  <si>
    <t>Item</t>
  </si>
  <si>
    <t>Vigência
(Meses)</t>
  </si>
  <si>
    <t>Valor Total Contratual:</t>
  </si>
  <si>
    <t>TRIBUNAL REGIONAL ELEITORAL DO PARANÁ</t>
  </si>
  <si>
    <t>DESCRIÇÃO DO SERVIÇO</t>
  </si>
  <si>
    <t xml:space="preserve">MONTANTE A </t>
  </si>
  <si>
    <t>MONTANTE A</t>
  </si>
  <si>
    <t xml:space="preserve">MONTANTE B </t>
  </si>
  <si>
    <t>MONTANTE B</t>
  </si>
  <si>
    <t>A + B</t>
  </si>
  <si>
    <t>CITL - CUSTOS INDIRETOS, TRIBUTOS E LUCRO
(Vide Aba)</t>
  </si>
  <si>
    <t>VALOR DO POSTO - UNITÁRIO MENSAL
(A+B+CITL)</t>
  </si>
  <si>
    <t>SALÁRIO</t>
  </si>
  <si>
    <t>ENCARGOS E PROVISÕES</t>
  </si>
  <si>
    <t>AUXÍLIO ALIMENTAÇÃO (Mensal)</t>
  </si>
  <si>
    <t xml:space="preserve">AUXÍLIO TRANSPORTE (Mensal) </t>
  </si>
  <si>
    <t>Valor do V.A.</t>
  </si>
  <si>
    <t>Desc. (%)</t>
  </si>
  <si>
    <t>Valor do V.T.</t>
  </si>
  <si>
    <t>Quant. Diária</t>
  </si>
  <si>
    <t>Convenção Coletiva de Trabalho utilizada como referência:</t>
  </si>
  <si>
    <t>Vigência da CCT:</t>
  </si>
  <si>
    <r>
      <rPr>
        <b/>
        <sz val="10"/>
        <rFont val="Arial"/>
        <family val="2"/>
        <charset val="1"/>
      </rPr>
      <t>Dias úteis = 21:</t>
    </r>
    <r>
      <rPr>
        <sz val="10"/>
        <rFont val="Arial"/>
        <family val="2"/>
        <charset val="1"/>
      </rPr>
      <t xml:space="preserve"> [ ( 365 / 7 ) X 5 - 9 ] / 12 = 20,98 (Acórdão TCU nº 1904/07 Plenário).</t>
    </r>
  </si>
  <si>
    <r>
      <rPr>
        <b/>
        <sz val="10"/>
        <rFont val="Arial"/>
        <family val="2"/>
        <charset val="1"/>
      </rPr>
      <t xml:space="preserve">CITL: </t>
    </r>
    <r>
      <rPr>
        <sz val="10"/>
        <rFont val="Arial"/>
        <family val="2"/>
        <charset val="1"/>
      </rPr>
      <t>Preenchida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</si>
  <si>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</si>
  <si>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</si>
  <si>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</si>
  <si>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</si>
  <si>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</si>
  <si>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</si>
  <si>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</si>
  <si>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</si>
  <si>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</si>
  <si>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</si>
  <si>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</si>
  <si>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</si>
  <si>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</si>
  <si>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</si>
  <si>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</si>
  <si>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</si>
  <si>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</si>
  <si>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</si>
  <si>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</si>
  <si>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</si>
  <si>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</si>
  <si>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</si>
  <si>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</si>
  <si>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</si>
  <si>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</si>
  <si>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</si>
  <si>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</si>
  <si>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</si>
  <si>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</si>
  <si>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</si>
  <si>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</si>
  <si>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</si>
  <si>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</si>
  <si>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</si>
  <si>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</si>
  <si>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</si>
  <si>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</si>
  <si>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</si>
  <si>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</si>
  <si>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</si>
  <si>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</si>
  <si>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</si>
  <si>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</si>
  <si>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</si>
  <si>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</si>
  <si>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</si>
  <si>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</si>
  <si>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</si>
  <si>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</si>
  <si>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</si>
  <si>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</si>
  <si>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</si>
  <si>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</si>
  <si>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</si>
  <si>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</si>
  <si>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</si>
  <si>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</si>
  <si>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</si>
  <si>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</si>
  <si>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</si>
  <si>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</si>
  <si>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</si>
  <si>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</si>
  <si>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</si>
  <si>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</si>
  <si>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</si>
  <si>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</si>
  <si>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</si>
  <si>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</si>
  <si>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</si>
  <si>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</si>
  <si>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</si>
  <si>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</si>
  <si>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</si>
  <si>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</si>
  <si>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</si>
  <si>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</si>
  <si>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</si>
  <si>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</si>
  <si>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</si>
  <si>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</si>
  <si>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</si>
  <si>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</si>
  <si>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</si>
  <si>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</si>
  <si>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</si>
  <si>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</si>
  <si>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</si>
  <si>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</si>
  <si>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</si>
  <si>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</si>
  <si>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</si>
  <si>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</si>
  <si>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</si>
  <si>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</si>
  <si>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</si>
  <si>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</si>
  <si>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</si>
  <si>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</si>
  <si>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</si>
  <si>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</si>
  <si>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</si>
  <si>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</si>
  <si>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</si>
  <si>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</si>
  <si>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</si>
  <si>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</si>
  <si>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CITL - CUSTOS INDIRETOS, TRIBUTOS E LUCRO</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</si>
  <si>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</si>
  <si>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</si>
  <si>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</si>
  <si>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</si>
  <si>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</si>
  <si>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</si>
  <si>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</si>
  <si>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</si>
  <si>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</si>
  <si>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</si>
  <si>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</si>
  <si>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t>PAD</t>
  </si>
  <si>
    <t>INSUMOS</t>
  </si>
  <si>
    <t>Núcleo de Análise e Pesquisa de Mercado</t>
  </si>
  <si>
    <t>Preço 1</t>
  </si>
  <si>
    <t>Preço 2</t>
  </si>
  <si>
    <t>Preço 3</t>
  </si>
  <si>
    <t>Preço Médio</t>
  </si>
  <si>
    <t>HORA EXTRA SUPLEMENTAR</t>
  </si>
  <si>
    <t>POSTO DE TRABALHO</t>
  </si>
  <si>
    <t>CARGA HOR. SEMANAL</t>
  </si>
  <si>
    <t>HORA SALÁRIO COM 50% DE ACRÉSCIMO</t>
  </si>
  <si>
    <t>DESCANSO SEMANAL REMUNERADO</t>
  </si>
  <si>
    <t>ENCARGOS SOCIAIS</t>
  </si>
  <si>
    <t>SOMA</t>
  </si>
  <si>
    <t>VALOR  DA HORA SUPLEMENTAR NOTURNA 50%</t>
  </si>
  <si>
    <t>HORA SALÁRIO COM 100% DE ACRÉSCIMO</t>
  </si>
  <si>
    <t>HORA SALÁRIO NOTURNA COM 50% DE ACRÉSCIMO</t>
  </si>
  <si>
    <t>HORA SALÁRIO NOTURNA COM 100% DE ACRÉSCIMO</t>
  </si>
  <si>
    <t>VALOR  DA HORA SUPLEMENTAR NOTURNA 100%</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</si>
  <si>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</si>
  <si>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</si>
  <si>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</si>
  <si>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</si>
  <si>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</si>
  <si>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</si>
  <si>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</si>
  <si>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</si>
  <si>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</si>
  <si>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</si>
  <si>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</si>
  <si>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</si>
  <si>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</si>
  <si>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</si>
  <si>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</si>
  <si>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</si>
  <si>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</si>
  <si>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</si>
  <si>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</si>
  <si>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</si>
  <si>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</si>
  <si>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</si>
  <si>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</si>
  <si>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</si>
  <si>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Quantidade de dias corridos do período:</t>
  </si>
  <si>
    <t>Quantidade de dias úteis do período:</t>
  </si>
  <si>
    <t>0</t>
  </si>
  <si>
    <t>Quantidade</t>
  </si>
  <si>
    <t>Valor Mensal</t>
  </si>
  <si>
    <t>HORA SUPLEMENTAR 50%</t>
  </si>
  <si>
    <t>HORA SUPLEMENTAR 100%</t>
  </si>
  <si>
    <t>HORA SUPLEMENTAR NOTURNA 50%</t>
  </si>
  <si>
    <t>HORA SUPLEMENTAR NOTURNA 100%</t>
  </si>
  <si>
    <t>Seguro de Vida</t>
  </si>
  <si>
    <t>Valor Mensal Unitário</t>
  </si>
  <si>
    <t>Valor Mensal Por Posto</t>
  </si>
  <si>
    <t>Seguro de Vida
(Vide Aba Insumos)</t>
  </si>
  <si>
    <t>Resumo Contratual</t>
  </si>
  <si>
    <t>Observações</t>
  </si>
  <si>
    <t>4140/2022</t>
  </si>
  <si>
    <t>Periculosidade</t>
  </si>
  <si>
    <t>Bombeiro Civil (CBO 5171-10) - 30h</t>
  </si>
  <si>
    <t>PERÍODO ELEITORAL</t>
  </si>
  <si>
    <t>Valor Unitário Mensal do Posto</t>
  </si>
  <si>
    <t>ADICIONAL DE NOTURNO (Resultante considerando 7 hrs por 12)</t>
  </si>
  <si>
    <t>HORA REDUZIDA (Considerando 7 hrs por 12 com Adic. Noturno)</t>
  </si>
  <si>
    <t>Bombeiro Civil (CBO 5171-10) - 12X36h</t>
  </si>
  <si>
    <t>Bombeiro Civil Líder (CBO 5171-10) - 12X36h</t>
  </si>
  <si>
    <t>Seguro de Vida em grupo com capital individual básico de R$9.100,00 em caso de Morte Adicental ou Invalidez Permanente por Acidente. (Cláusula 22ª da CCT 2021 e Lei 11.901/2009)</t>
  </si>
  <si>
    <t>Cesta Básica
(Cl. 23ª)</t>
  </si>
  <si>
    <t>Assistência Médica Ambulatorial (Cláusula 20ª da CCT)</t>
  </si>
  <si>
    <t>Assistênca Médica</t>
  </si>
  <si>
    <t>Assistência Médica Ambulatorial
(Vide Aba Insumos)</t>
  </si>
  <si>
    <t>Assistência Odontológica
(Cl. 24ª)</t>
  </si>
  <si>
    <t>Serviços de Bombeiro Civil</t>
  </si>
  <si>
    <t>Periodicid.
(Meses)</t>
  </si>
  <si>
    <t>Valor Unitário</t>
  </si>
  <si>
    <t>Uniforme - Posto Ordinário</t>
  </si>
  <si>
    <t>Gandola: Tecido “Rip-Stop” profissional, composto por 33% algodão e 67% poliéster, fechamento com botão e zíper, dois bolsos laterais na altura do abdômen, um de cada lado (12cm de comprimento por 10cm de largura cada); um bolso lateral direito, partindo abaixo da clavícula e próximo ao ombro (10cm de comprimento e 7cm de largura). Manga comprida que permita a dobra em até 3/4.</t>
  </si>
  <si>
    <t>Calça: Tecido “Rip-Stop” profissional, composto por 33% algodão e 67% poliéster, fechamento com botão e zíper, cinco presilhas, um bolso lateral na altura de cada fêmur com lapela e fechamento em velcro (25cm de comprimento por 20cm de largura), um bolso lateral esquerdo na altura da fíbula (20cm de comprimento por 12cm de largura).</t>
  </si>
  <si>
    <t>Cinto: Confeccionado em poliéster ou nylon, com fivela e ponteira prata.</t>
  </si>
  <si>
    <t>Camiseta: 100% algodão, manga curta.</t>
  </si>
  <si>
    <t>Coturno: Couro nobuk hidrofugado, tecido sintético, colarinho e língua em couro, impermeável. Forração interna com rápida dispersão de umidade. Solado plano em borracha e plataforma de EVA, com isolamento térmico e elétrico.</t>
  </si>
  <si>
    <t>Meias: Tipo táticas de alta performance Thermo Dry, cano longo.</t>
  </si>
  <si>
    <t>Japona: Tecido “Rip-Stop” profissional, composto por 33% algodão e 67% poliéster, fechamento com zíper e velcro até a altura do pescoço.</t>
  </si>
  <si>
    <t>Descrição</t>
  </si>
  <si>
    <t>ITEM</t>
  </si>
  <si>
    <t>Monitor de pressão arterial e batimentos cardíacos, ajuste da insuflação automático, de braço, digital, com 02 pilhas AAA, indicador de nível de carga de bateria, data e hora, memória, visor de cristal líquido, fecho em velcro, estojo.</t>
  </si>
  <si>
    <t>Tesoura Ponta-Romba de Primeiros Socorros e Emergência para cortar roupas e vestes. Produto confeccionado em aço inoxidável; Tamanho 12 cm.</t>
  </si>
  <si>
    <t>Reanimador ou ressuscitador ambulatorial manual – Adulto – em silicone, composto de máscara e bolsa, reservatório de oxigênio, resistente a métodos de desinfecção, acondicionado em bolsa fechada com zíper.</t>
  </si>
  <si>
    <t>Cobertor térmico de emergência aluminizado.</t>
  </si>
  <si>
    <t>Termômetro clínico digital, com beep sonoro e desligamento automático.</t>
  </si>
  <si>
    <t>Prancha de imobilização. Em polietileno, com aberturas para utilização do cinto aranha e imobilizador de cabeça como acessórios. Rígida e leve. Com pegadores amplos para facilitar o uso de luvas; design em ângulo para melhor acomodação do paciente. Suporte de vítimas de até 180kg.</t>
  </si>
  <si>
    <t>Cinto tirante aranha para prancha de resgate, modelo adulto. Confeccionado em fitas de poliamida 100% preta com 50 mm de largura. Fecho de regulagem em velcro e regulador plástico preto. Para colocação em prancha rígida onde fixará a vítima a ser socorrida. Este item deverá ser adequado ao item 7.</t>
  </si>
  <si>
    <t>Colar cervical ajustável, 4 x 1 – regulável, confeccionado em polipropileno, com medidor de mensuração, sem emendas, nem presença de metais condutivos, suporte adaptável a qualquer forma e tamanho de mandíbula, com abertura lateral que permita maior conforto e ventilação ao paciente; Regulagem de altura com 4 níveis de ajuste.</t>
  </si>
  <si>
    <t>Aspirador manual de secreção</t>
  </si>
  <si>
    <t>Bolsa térmica de gel quente e fria</t>
  </si>
  <si>
    <t>Estabilizador/imobilizador lateral de cabeça</t>
  </si>
  <si>
    <t>Maleta de primeiros socorros</t>
  </si>
  <si>
    <t>Bolsa para atendimento pré-hospitalar APH, com estampa da cruz da vida, apresentando bolsos laterais e frontais, costura dupla, forro em TNT, faixas refletivas frontais e zíper de qualidade, impermeável e lavável, com alça larga em nylon.</t>
  </si>
  <si>
    <t>Lanterna recarregável, tipo holofote, com carregador</t>
  </si>
  <si>
    <t>Megafone com potência mínima de 35W, recarregável, bivolt, com amplificador de voz, controle de volume, gravador, sirene.</t>
  </si>
  <si>
    <t>Alicate Universal de 6 polegadas</t>
  </si>
  <si>
    <t>Alicate de corte de 6 polegadas</t>
  </si>
  <si>
    <t>Alavanca para arrombamento, tipo pé de cabra de aço</t>
  </si>
  <si>
    <t>Oxímetro de pulso portátil, monitor de dedo.</t>
  </si>
  <si>
    <t>Pilha AA recarregável</t>
  </si>
  <si>
    <t>Pilha AAA recarregável</t>
  </si>
  <si>
    <t>Carregador de pilhas AA e AAA</t>
  </si>
  <si>
    <t>Conjunto de proteção para chuva. Blusão e calça em PVC laminado, confeccionado em tela sintética revestida de PVC laminado em ambas as faces, com fechamento frontal através de botões de pressão plástico ou velcro.</t>
  </si>
  <si>
    <t>Machado bombeiro profissional</t>
  </si>
  <si>
    <t>Lanterna de cabeça recarregável, multifeixes com alcance de até 15 metros, autonomia de até 12 horas.</t>
  </si>
  <si>
    <t>Conjunto roupa de aproximação em incêndio, em fibra aramida, tecido em Rip-Stop.</t>
  </si>
  <si>
    <t>Bota para combate a incêndio</t>
  </si>
  <si>
    <t>Óculos de proteção individual, lente incolor, em policarbonato com tratamento anti-riscos, resistente a impactos e choques físicos, visor curvo para proteção lateral, arco superior e hastes com revestimento de borracha macia, hastes reguláveis em comprimento e em ângulo</t>
  </si>
  <si>
    <t>Equipamento autônomo de proteção respiratória com cilindro de oxigênio. Capacidade de 09 litros. Com suporte anatômico moldado em fibra de carbono, resistente e estático, manômetro de pressão fosforecente, máscara facial em silicone e composta de um corpo, visor de acrílico, conector que permita válvula de demanda. A máscara deve possuir membrana acústica, mascarilha interna, tirantes de fixação de 05 pontos e alça de transporte.</t>
  </si>
  <si>
    <t xml:space="preserve">Capacete de resgate com cinta de queixo forte, aberturas de ventilação com ajustáveis estores deslizantes que permitem a circulação de ar no capacete quando necessário, sistema de ajuste CENTERFIT que ajusta a cabeça e a mantém centralizada. </t>
  </si>
  <si>
    <t>Luva de combate a incêndio</t>
  </si>
  <si>
    <t>Soma por Posto:</t>
  </si>
  <si>
    <t>Uniforme - Posto Eleições</t>
  </si>
  <si>
    <t>Entrega</t>
  </si>
  <si>
    <t>Única</t>
  </si>
  <si>
    <t>Periodicidade</t>
  </si>
  <si>
    <t>Materiais e Equipamentos</t>
  </si>
  <si>
    <t>Insumos para serviços</t>
  </si>
  <si>
    <t>Valor Mensal por Posto</t>
  </si>
  <si>
    <t>Quantidade por Posto</t>
  </si>
  <si>
    <t>Caixa de curativos micropore, 19mm x 75 mm, Caixa com 35 unidades.</t>
  </si>
  <si>
    <t>Máscara cirúrgica descartável, com elático de polipropileno, na cor branca. Caixa com 50 unidades</t>
  </si>
  <si>
    <t>Compressas cirúrgicas de gaze hidrófilas estéreis, medindo 7,5 cm x 75cm, 13 fios, confeccionadas com 100% algodão hidrófilas. Pacote com 10 unidades.</t>
  </si>
  <si>
    <t>Fita crepe. Rolo de 18mm X 50m.</t>
  </si>
  <si>
    <t>Luva látex para procedimento descartável, tam. P. Caixa com 100 unidades.</t>
  </si>
  <si>
    <t>Luva látex para procedimento descartável, tam. M. Caixa com 100 unidades.</t>
  </si>
  <si>
    <t>Luva látex para procedimento descartável, tam. G. Caixa com 100 unidades.</t>
  </si>
  <si>
    <t>Esparadrapo impermeável, confeccionado em tecido apropriado, cor branca. Rolo de10 cm x 4,5 m.</t>
  </si>
  <si>
    <t>Plástico protetor de queimadura e eviscerações 45cm x 45cm. Unidade.</t>
  </si>
  <si>
    <t>Soro fisiológico 0,9%. Embalagem plástica de 250 ml.</t>
  </si>
  <si>
    <t>Álcool etílico 70%. Frasco de 1 Litro.</t>
  </si>
  <si>
    <t>Algodão hidrófilo em bolas. Pacote de 100 gr.</t>
  </si>
  <si>
    <t>Atadura crepe tam. 10 cm x 1,80 m. Unidade.</t>
  </si>
  <si>
    <t>Atadura crepe tam. 15 cm x 1,80 m. Unidade</t>
  </si>
  <si>
    <t>Atadura crepe tam. 20 cm x 1,80 m. Unidade.</t>
  </si>
  <si>
    <t>Pomada anti-inflamatória em gel. Embalagem de 100g.</t>
  </si>
  <si>
    <t>Fita para sinalização zebrada, preta com amarela. Rolo de 70mm x 200 m.</t>
  </si>
  <si>
    <t>Kit de talas moldáveis aramadas para imobilização em EVA, tamanhos PP, P, M e G. Jogo com 4 peças.</t>
  </si>
  <si>
    <t>Água oxigenada. Embalagem de 1 Litro.</t>
  </si>
  <si>
    <t>Bandagem triangular, tam. P. Unidade.</t>
  </si>
  <si>
    <t>Bandagem triangular, tam. M. Unidade.</t>
  </si>
  <si>
    <t>Bandagem triangular, tam. G. Unidade.</t>
  </si>
  <si>
    <t>Soma Contratual</t>
  </si>
  <si>
    <t>UNIFORMES
(Vide Aba Insumos)</t>
  </si>
  <si>
    <t>MATERIAIS E EQUIPAMENTOS
(Vide Aba Insumos)</t>
  </si>
  <si>
    <t>INSUMOS DE PRIMEIROS SOCORROS
(Vide Aba Insumos)</t>
  </si>
  <si>
    <t>Quantidade de Postos</t>
  </si>
  <si>
    <r>
      <t xml:space="preserve">Valor da Hora
(Mensal de 180)
</t>
    </r>
    <r>
      <rPr>
        <b/>
        <sz val="10"/>
        <color rgb="FF0070C0"/>
        <rFont val="Arial"/>
        <family val="2"/>
      </rPr>
      <t>A</t>
    </r>
  </si>
  <si>
    <r>
      <t xml:space="preserve">Quantidade de Horas por Posto
</t>
    </r>
    <r>
      <rPr>
        <b/>
        <sz val="10"/>
        <color rgb="FF0070C0"/>
        <rFont val="Arial"/>
        <family val="2"/>
      </rPr>
      <t>B</t>
    </r>
  </si>
  <si>
    <r>
      <t xml:space="preserve">Uniforme
(Vide Insumos)
</t>
    </r>
    <r>
      <rPr>
        <b/>
        <sz val="10"/>
        <color rgb="FF0070C0"/>
        <rFont val="Arial"/>
        <family val="2"/>
      </rPr>
      <t>C</t>
    </r>
  </si>
  <si>
    <r>
      <t xml:space="preserve">Soma por Posto
( </t>
    </r>
    <r>
      <rPr>
        <b/>
        <sz val="10"/>
        <color rgb="FF0070C0"/>
        <rFont val="Arial"/>
        <family val="2"/>
      </rPr>
      <t>A</t>
    </r>
    <r>
      <rPr>
        <b/>
        <sz val="10"/>
        <rFont val="Arial"/>
        <family val="2"/>
      </rPr>
      <t xml:space="preserve"> X </t>
    </r>
    <r>
      <rPr>
        <b/>
        <sz val="10"/>
        <color rgb="FF0070C0"/>
        <rFont val="Arial"/>
        <family val="2"/>
      </rPr>
      <t>B</t>
    </r>
    <r>
      <rPr>
        <b/>
        <sz val="10"/>
        <rFont val="Arial"/>
        <family val="2"/>
      </rPr>
      <t xml:space="preserve"> ) + </t>
    </r>
    <r>
      <rPr>
        <b/>
        <sz val="10"/>
        <color rgb="FF0070C0"/>
        <rFont val="Arial"/>
        <family val="2"/>
      </rPr>
      <t>C</t>
    </r>
  </si>
  <si>
    <t>Soma do Período Eleitoral</t>
  </si>
  <si>
    <t>Quantidade de Períodos Eleitorais</t>
  </si>
  <si>
    <r>
      <t xml:space="preserve">1. </t>
    </r>
    <r>
      <rPr>
        <sz val="8"/>
        <rFont val="Arial"/>
        <family val="2"/>
      </rPr>
      <t>Valor equivalente a Hora Extra do posto, sem os encargos sociais, por tratar-se de indenização.</t>
    </r>
  </si>
  <si>
    <r>
      <rPr>
        <sz val="10"/>
        <rFont val="Arial"/>
        <family val="2"/>
      </rPr>
      <t>INDENIZAÇÃO DA INTRAJORN.</t>
    </r>
    <r>
      <rPr>
        <vertAlign val="superscript"/>
        <sz val="10"/>
        <color rgb="FFFF0000"/>
        <rFont val="Arial"/>
        <family val="2"/>
      </rPr>
      <t>1</t>
    </r>
    <r>
      <rPr>
        <sz val="10"/>
        <rFont val="Arial"/>
        <family val="2"/>
      </rPr>
      <t xml:space="preserve">
(Quantidade de HE)</t>
    </r>
  </si>
  <si>
    <r>
      <t>Auxílio Alimentação:</t>
    </r>
    <r>
      <rPr>
        <sz val="10"/>
        <rFont val="Arial"/>
        <family val="2"/>
        <charset val="1"/>
      </rPr>
      <t xml:space="preserve"> [ (VA * 21 ou 15) - PAT ]</t>
    </r>
  </si>
  <si>
    <r>
      <rPr>
        <b/>
        <sz val="10"/>
        <rFont val="Arial"/>
        <family val="2"/>
      </rPr>
      <t xml:space="preserve">Seguro de Vida: </t>
    </r>
    <r>
      <rPr>
        <sz val="10"/>
        <rFont val="Arial"/>
        <family val="2"/>
        <charset val="1"/>
      </rPr>
      <t>CCT e Lei 11901/2009.</t>
    </r>
  </si>
  <si>
    <r>
      <t xml:space="preserve">Auxílio Transporte: </t>
    </r>
    <r>
      <rPr>
        <sz val="10"/>
        <rFont val="Arial"/>
        <family val="2"/>
      </rPr>
      <t>[ (Valor Unitário do VT X Quantidade Diária X 21 ou 15) - 6% da Remuneração ].</t>
    </r>
  </si>
  <si>
    <t xml:space="preserve">Bombeiros Civil (CBO 5171-10) - 1º Turno </t>
  </si>
  <si>
    <t xml:space="preserve">Bombeiros Civil (CBO 5171-10) - 2º Turno </t>
  </si>
  <si>
    <t>Valor Unitário por Turno</t>
  </si>
  <si>
    <t>Valor Total Contratual</t>
  </si>
  <si>
    <t xml:space="preserve">PERÍODO REGULAR </t>
  </si>
  <si>
    <t>SINDEPRESTEM-PR - BOMBEIROS - 22/23 (ver campo observações)</t>
  </si>
  <si>
    <r>
      <t xml:space="preserve">Convenção Coletiva de Trabalho utilizada como referência: </t>
    </r>
    <r>
      <rPr>
        <sz val="10"/>
        <rFont val="Arial"/>
        <family val="2"/>
      </rPr>
      <t>a CCT 2022/2023 está pendente de registro na data da publicação do edital, tendo sido utilizada a nova tabela de salários divulgada em: https://www.sindibombeirospr.com.br/_files/ugd/0c5c43_6e95771f54f746a69017b77aa9537bc4.pdf</t>
    </r>
  </si>
  <si>
    <t>2022-2023</t>
  </si>
  <si>
    <t>Valor por Turno</t>
  </si>
  <si>
    <t>Quantidade de eleições (2022 e 2024)</t>
  </si>
  <si>
    <r>
      <t>Valor por Turno:</t>
    </r>
    <r>
      <rPr>
        <sz val="10"/>
        <rFont val="Arial"/>
        <family val="2"/>
      </rPr>
      <t xml:space="preserve"> quantitativo de postos, dias e horário de trabalho conforme item 2.1.2.1 do Termo de Referência (Anexo I do Edital)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</si>
</sst>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7" formatCode="&quot;R$&quot;\ #,##0.00;\-&quot;R$&quot;\ #,##0.00"/>
    <numFmt numFmtId="164" formatCode="_-&quot;R$ &quot;* #,##0.00_-;&quot;-R$ &quot;* #,##0.00_-;_-&quot;R$ &quot;* \-??_-;_-@_-"/>
    <numFmt numFmtId="165" formatCode="_(&quot;R$&quot;* #,##0.00_);_(&quot;R$&quot;* \(#,##0.00\);_(&quot;R$&quot;* \-??_);_(@_)"/>
    <numFmt numFmtId="166" formatCode="_-* #,##0.00_-;\-* #,##0.00_-;_-* \-??_-;_-@_-"/>
    <numFmt numFmtId="167" formatCode="dd/mm/yy;@"/>
    <numFmt numFmtId="168" formatCode="&quot;R$ &quot;#,##0.00"/>
    <numFmt numFmtId="169" formatCode="&quot;R$ &quot;#,##0.00;[Red]&quot;-R$ &quot;#,##0.00"/>
    <numFmt numFmtId="170" formatCode="#,##0_ ;[Red]\-#,##0\ "/>
    <numFmt numFmtId="171" formatCode="[$R$-416]\ #,##0.00;\-[$R$-416]\ #,##0.00"/>
    <numFmt numFmtId="172" formatCode="0.00;[Red]0.00"/>
    <numFmt numFmtId="173" formatCode="0.0000"/>
    <numFmt numFmtId="174" formatCode="0.0000000"/>
    <numFmt numFmtId="175" formatCode="&quot;R$&quot;\ #,##0.00"/>
    <numFmt numFmtId="176" formatCode="0.0"/>
    <numFmt numFmtId="177" formatCode="0;[Red]0"/>
    <numFmt numFmtId="178" formatCode="#,##0_ ;\-#,##0\ "/>
    <numFmt numFmtId="179" formatCode="_-[$R$-416]\ * #,##0.00_-;\-[$R$-416]\ * #,##0.00_-;_-[$R$-416]\ * &quot;-&quot;??_-;_-@_-"/>
  </numFmts>
  <fonts count="58" x14ac:knownFonts="1">
    <font>
      <sz val="10"/>
      <name val="Arial"/>
      <charset val="1"/>
    </font>
    <font>
      <sz val="10"/>
      <name val="Arial"/>
      <family val="2"/>
      <charset val="1"/>
    </font>
    <font>
      <sz val="11"/>
      <color rgb="FF000000"/>
      <name val="Garamond"/>
      <family val="1"/>
      <charset val="1"/>
    </font>
    <font>
      <sz val="9"/>
      <name val="Arial"/>
      <family val="2"/>
      <charset val="1"/>
    </font>
    <font>
      <b/>
      <sz val="9"/>
      <color rgb="FF000000"/>
      <name val="Arial"/>
      <family val="2"/>
      <charset val="1"/>
    </font>
    <font>
      <b/>
      <sz val="10"/>
      <name val="Arial"/>
      <family val="2"/>
      <charset val="1"/>
    </font>
    <font>
      <sz val="11"/>
      <color rgb="FF000000"/>
      <name val="Arial"/>
      <family val="2"/>
      <charset val="1"/>
    </font>
    <font>
      <b/>
      <sz val="10"/>
      <color rgb="FF000000"/>
      <name val="Arial"/>
      <family val="2"/>
      <charset val="1"/>
    </font>
    <font>
      <b/>
      <sz val="10"/>
      <color rgb="FF4F6228"/>
      <name val="Arial"/>
      <family val="2"/>
      <charset val="1"/>
    </font>
    <font>
      <sz val="10"/>
      <color rgb="FF000000"/>
      <name val="Arial"/>
      <family val="2"/>
      <charset val="1"/>
    </font>
    <font>
      <b/>
      <sz val="10"/>
      <color rgb="FF558ED5"/>
      <name val="Arial"/>
      <family val="2"/>
      <charset val="1"/>
    </font>
    <font>
      <b/>
      <sz val="16"/>
      <name val="Arial"/>
      <family val="2"/>
      <charset val="1"/>
    </font>
    <font>
      <b/>
      <sz val="14"/>
      <name val="Garamond"/>
      <family val="1"/>
      <charset val="1"/>
    </font>
    <font>
      <sz val="12"/>
      <name val="Arial"/>
      <family val="2"/>
      <charset val="1"/>
    </font>
    <font>
      <sz val="14"/>
      <color rgb="FFFF0000"/>
      <name val="Garamond"/>
      <family val="1"/>
      <charset val="1"/>
    </font>
    <font>
      <sz val="11"/>
      <color rgb="FFFF0000"/>
      <name val="Garamond"/>
      <family val="1"/>
      <charset val="1"/>
    </font>
    <font>
      <b/>
      <sz val="12"/>
      <name val="Arial"/>
      <family val="2"/>
      <charset val="1"/>
    </font>
    <font>
      <sz val="12"/>
      <color rgb="FFFF0000"/>
      <name val="Arial"/>
      <family val="2"/>
      <charset val="1"/>
    </font>
    <font>
      <sz val="16"/>
      <name val="Arial"/>
      <family val="2"/>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0"/>
      <color rgb="FF1F497D"/>
      <name val="Arial"/>
      <family val="2"/>
      <charset val="1"/>
    </font>
    <font>
      <b/>
      <sz val="11"/>
      <color rgb="FF1F497D"/>
      <name val="Calibri"/>
      <family val="2"/>
      <charset val="1"/>
    </font>
    <font>
      <sz val="11"/>
      <color rgb="FF000000"/>
      <name val="Calibri"/>
      <family val="2"/>
      <charset val="1"/>
    </font>
    <font>
      <b/>
      <sz val="14"/>
      <color rgb="FF000000"/>
      <name val="Arial"/>
      <family val="2"/>
      <charset val="1"/>
    </font>
    <font>
      <sz val="10"/>
      <color rgb="FFFF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b/>
      <sz val="14"/>
      <name val="Arial"/>
      <family val="2"/>
      <charset val="1"/>
    </font>
    <font>
      <b/>
      <sz val="11"/>
      <name val="Arial"/>
      <family val="2"/>
      <charset val="1"/>
    </font>
    <font>
      <b/>
      <sz val="12"/>
      <color rgb="FF4F6228"/>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sz val="10"/>
      <name val="Arial"/>
      <family val="2"/>
    </font>
    <font>
      <b/>
      <sz val="10"/>
      <color rgb="FF000000"/>
      <name val="Arial"/>
      <family val="2"/>
    </font>
    <font>
      <b/>
      <sz val="10"/>
      <name val="Arial"/>
      <family val="2"/>
    </font>
    <font>
      <sz val="9"/>
      <color indexed="81"/>
      <name val="Segoe UI"/>
      <family val="2"/>
    </font>
    <font>
      <b/>
      <sz val="9"/>
      <color indexed="81"/>
      <name val="Segoe UI"/>
      <family val="2"/>
    </font>
    <font>
      <vertAlign val="superscript"/>
      <sz val="10"/>
      <color rgb="FFFF0000"/>
      <name val="Arial"/>
      <family val="2"/>
    </font>
    <font>
      <b/>
      <sz val="9"/>
      <color theme="1"/>
      <name val="Arial"/>
      <family val="2"/>
    </font>
    <font>
      <sz val="10"/>
      <color rgb="FFFF0000"/>
      <name val="Arial"/>
      <family val="2"/>
    </font>
    <font>
      <b/>
      <sz val="12"/>
      <color theme="8" tint="-0.24994659260841701"/>
      <name val="Arial"/>
      <family val="2"/>
      <charset val="1"/>
    </font>
    <font>
      <b/>
      <sz val="10"/>
      <color theme="8" tint="-0.24994659260841701"/>
      <name val="Arial"/>
      <family val="2"/>
      <charset val="1"/>
    </font>
    <font>
      <sz val="8"/>
      <name val="Arial"/>
      <family val="2"/>
    </font>
    <font>
      <sz val="8"/>
      <color rgb="FFFF0000"/>
      <name val="Arial"/>
      <family val="2"/>
    </font>
    <font>
      <sz val="10"/>
      <color rgb="FF000000"/>
      <name val="Arial"/>
      <family val="2"/>
    </font>
    <font>
      <b/>
      <sz val="10"/>
      <color rgb="FF0070C0"/>
      <name val="Arial"/>
      <family val="2"/>
    </font>
  </fonts>
  <fills count="22">
    <fill>
      <patternFill patternType="none"/>
    </fill>
    <fill>
      <patternFill patternType="gray125"/>
    </fill>
    <fill>
      <patternFill patternType="solid">
        <fgColor rgb="FFFFFFFF"/>
        <bgColor rgb="FFF2F2F2"/>
      </patternFill>
    </fill>
    <fill>
      <patternFill patternType="solid">
        <fgColor rgb="FFD7E4BD"/>
        <bgColor rgb="FFD9D9D9"/>
      </patternFill>
    </fill>
    <fill>
      <patternFill patternType="solid">
        <fgColor rgb="FFFFFFCC"/>
        <bgColor rgb="FFEBF1DE"/>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0"/>
        <bgColor rgb="FFD9D9D9"/>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9" tint="0.79998168889431442"/>
        <bgColor rgb="FFEBF1DE"/>
      </patternFill>
    </fill>
    <fill>
      <patternFill patternType="solid">
        <fgColor theme="6" tint="0.79998168889431442"/>
        <bgColor rgb="FFF2F2F2"/>
      </patternFill>
    </fill>
    <fill>
      <patternFill patternType="solid">
        <fgColor rgb="FFFFFFCC"/>
        <bgColor rgb="FFD9D9D9"/>
      </patternFill>
    </fill>
    <fill>
      <patternFill patternType="solid">
        <fgColor theme="0"/>
        <bgColor indexed="64"/>
      </patternFill>
    </fill>
    <fill>
      <patternFill patternType="solid">
        <fgColor theme="0"/>
        <bgColor rgb="FFF2F2F2"/>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rgb="FFF2F2F2"/>
      </patternFill>
    </fill>
    <fill>
      <patternFill patternType="solid">
        <fgColor rgb="FFFFFF99"/>
        <bgColor indexed="64"/>
      </patternFill>
    </fill>
  </fills>
  <borders count="57">
    <border>
      <left/>
      <right/>
      <top/>
      <bottom/>
      <diagonal/>
    </border>
    <border>
      <left/>
      <right/>
      <top/>
      <bottom style="thick">
        <color rgb="FFA7C0DE"/>
      </bottom>
      <diagonal/>
    </border>
    <border>
      <left/>
      <right/>
      <top/>
      <bottom style="medium">
        <color rgb="FF95B3D7"/>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ck">
        <color rgb="FFD7E4BD"/>
      </top>
      <bottom style="thin">
        <color auto="1"/>
      </bottom>
      <diagonal/>
    </border>
    <border>
      <left/>
      <right/>
      <top/>
      <bottom style="thick">
        <color rgb="FFC6D9F1"/>
      </bottom>
      <diagonal/>
    </border>
    <border>
      <left style="thin">
        <color auto="1"/>
      </left>
      <right style="thin">
        <color auto="1"/>
      </right>
      <top style="thick">
        <color rgb="FFC6D9F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style="thin">
        <color auto="1"/>
      </right>
      <top/>
      <bottom/>
      <diagonal/>
    </border>
    <border>
      <left/>
      <right/>
      <top style="thin">
        <color auto="1"/>
      </top>
      <bottom style="thick">
        <color rgb="FFD7E4BD"/>
      </bottom>
      <diagonal/>
    </border>
    <border>
      <left/>
      <right/>
      <top/>
      <bottom style="thick">
        <color rgb="FFC3D69B"/>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top/>
      <bottom style="medium">
        <color rgb="FFC3D69B"/>
      </bottom>
      <diagonal/>
    </border>
    <border>
      <left/>
      <right/>
      <top style="medium">
        <color rgb="FFC3D69B"/>
      </top>
      <bottom/>
      <diagonal/>
    </border>
    <border>
      <left style="medium">
        <color rgb="FF1D08B8"/>
      </left>
      <right/>
      <top/>
      <bottom/>
      <diagonal/>
    </border>
    <border>
      <left/>
      <right/>
      <top style="medium">
        <color rgb="FF1D08B8"/>
      </top>
      <bottom/>
      <diagonal/>
    </border>
    <border>
      <left/>
      <right style="thin">
        <color auto="1"/>
      </right>
      <top style="thin">
        <color auto="1"/>
      </top>
      <bottom style="thin">
        <color auto="1"/>
      </bottom>
      <diagonal/>
    </border>
    <border>
      <left style="thin">
        <color auto="1"/>
      </left>
      <right style="thin">
        <color auto="1"/>
      </right>
      <top style="thick">
        <color rgb="FFC3D69B"/>
      </top>
      <bottom style="thin">
        <color auto="1"/>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BFBFBF"/>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ck">
        <color rgb="FFD7E4BD"/>
      </bottom>
      <diagonal/>
    </border>
    <border>
      <left/>
      <right style="medium">
        <color auto="1"/>
      </right>
      <top style="medium">
        <color auto="1"/>
      </top>
      <bottom style="medium">
        <color auto="1"/>
      </bottom>
      <diagonal/>
    </border>
    <border>
      <left style="thin">
        <color auto="1"/>
      </left>
      <right/>
      <top style="thick">
        <color rgb="FFD7E4BD"/>
      </top>
      <bottom style="thin">
        <color indexed="64"/>
      </bottom>
      <diagonal/>
    </border>
    <border>
      <left/>
      <right/>
      <top style="medium">
        <color auto="1"/>
      </top>
      <bottom style="medium">
        <color auto="1"/>
      </bottom>
      <diagonal/>
    </border>
    <border>
      <left/>
      <right/>
      <top/>
      <bottom style="thick">
        <color theme="9" tint="0.59996337778862885"/>
      </bottom>
      <diagonal/>
    </border>
    <border>
      <left/>
      <right/>
      <top style="medium">
        <color auto="1"/>
      </top>
      <bottom style="thick">
        <color theme="9" tint="0.59996337778862885"/>
      </bottom>
      <diagonal/>
    </border>
    <border>
      <left/>
      <right/>
      <top/>
      <bottom style="thick">
        <color theme="4" tint="0.39994506668294322"/>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
      <left style="thin">
        <color auto="1"/>
      </left>
      <right style="thin">
        <color auto="1"/>
      </right>
      <top style="thick">
        <color rgb="FFC6D9F1"/>
      </top>
      <bottom/>
      <diagonal/>
    </border>
  </borders>
  <cellStyleXfs count="10">
    <xf numFmtId="0" fontId="0" fillId="0" borderId="0"/>
    <xf numFmtId="165" fontId="44" fillId="0" borderId="0" applyBorder="0" applyProtection="0"/>
    <xf numFmtId="9" fontId="44" fillId="0" borderId="0" applyBorder="0" applyProtection="0"/>
    <xf numFmtId="164" fontId="44" fillId="0" borderId="0" applyBorder="0" applyProtection="0"/>
    <xf numFmtId="165" fontId="44" fillId="0" borderId="0" applyBorder="0" applyProtection="0"/>
    <xf numFmtId="0" fontId="1" fillId="0" borderId="0"/>
    <xf numFmtId="166" fontId="44" fillId="0" borderId="0" applyBorder="0" applyProtection="0"/>
    <xf numFmtId="0" fontId="22" fillId="0" borderId="1" applyProtection="0"/>
    <xf numFmtId="0" fontId="28" fillId="0" borderId="2" applyProtection="0"/>
    <xf numFmtId="0" fontId="44" fillId="0" borderId="0"/>
  </cellStyleXfs>
  <cellXfs count="423">
    <xf numFmtId="0" fontId="0" fillId="0" borderId="0" xfId="0"/>
    <xf numFmtId="0" fontId="5" fillId="2" borderId="0" xfId="5" applyFont="1" applyFill="1" applyBorder="1" applyAlignment="1" applyProtection="1">
      <alignment horizontal="right" vertical="center"/>
    </xf>
    <xf numFmtId="0" fontId="6" fillId="2" borderId="0" xfId="0" applyFont="1" applyFill="1" applyBorder="1" applyProtection="1"/>
    <xf numFmtId="0" fontId="9" fillId="0" borderId="3" xfId="0" applyFont="1" applyBorder="1" applyAlignment="1" applyProtection="1">
      <alignment horizontal="left" vertical="center" wrapText="1"/>
    </xf>
    <xf numFmtId="0" fontId="0" fillId="0" borderId="0" xfId="0" applyProtection="1"/>
    <xf numFmtId="0" fontId="12" fillId="0" borderId="0" xfId="5" applyFont="1" applyBorder="1" applyAlignment="1" applyProtection="1"/>
    <xf numFmtId="0" fontId="2" fillId="0" borderId="0" xfId="0" applyFont="1" applyBorder="1" applyProtection="1"/>
    <xf numFmtId="0" fontId="14" fillId="0" borderId="0" xfId="5" applyFont="1" applyBorder="1" applyAlignment="1" applyProtection="1"/>
    <xf numFmtId="0" fontId="15" fillId="0" borderId="0" xfId="0" applyFont="1" applyBorder="1" applyProtection="1"/>
    <xf numFmtId="0" fontId="18" fillId="2" borderId="0" xfId="5" applyFont="1" applyFill="1" applyBorder="1" applyAlignment="1" applyProtection="1">
      <alignment horizontal="center" vertical="center"/>
    </xf>
    <xf numFmtId="167" fontId="5" fillId="2" borderId="3" xfId="5" applyNumberFormat="1" applyFont="1" applyFill="1" applyBorder="1" applyAlignment="1" applyProtection="1">
      <alignment horizontal="center" wrapText="1"/>
    </xf>
    <xf numFmtId="0" fontId="0" fillId="0" borderId="0" xfId="0" applyBorder="1" applyProtection="1"/>
    <xf numFmtId="0" fontId="5" fillId="2" borderId="0" xfId="5" applyFont="1" applyFill="1" applyBorder="1" applyAlignment="1" applyProtection="1">
      <alignment horizontal="right" vertical="center" wrapText="1"/>
    </xf>
    <xf numFmtId="0" fontId="2" fillId="0" borderId="0" xfId="0" applyFont="1" applyAlignment="1" applyProtection="1"/>
    <xf numFmtId="0" fontId="2" fillId="0" borderId="0" xfId="0" applyFont="1" applyProtection="1"/>
    <xf numFmtId="0" fontId="2" fillId="0" borderId="0" xfId="0" applyFont="1" applyAlignment="1" applyProtection="1">
      <alignment horizontal="right"/>
    </xf>
    <xf numFmtId="10" fontId="1" fillId="2" borderId="3" xfId="5" applyNumberFormat="1" applyFont="1" applyFill="1" applyBorder="1" applyAlignment="1" applyProtection="1">
      <alignment horizontal="center" vertical="center" wrapText="1"/>
    </xf>
    <xf numFmtId="10" fontId="1" fillId="0" borderId="3" xfId="5" applyNumberFormat="1" applyFont="1" applyBorder="1" applyAlignment="1" applyProtection="1">
      <alignment horizontal="center" vertical="center"/>
    </xf>
    <xf numFmtId="0" fontId="8" fillId="0" borderId="16" xfId="0" applyFont="1" applyBorder="1" applyProtection="1"/>
    <xf numFmtId="0" fontId="0" fillId="0" borderId="16" xfId="0" applyBorder="1" applyProtection="1"/>
    <xf numFmtId="0" fontId="9" fillId="0" borderId="5" xfId="0" applyFont="1" applyBorder="1" applyAlignment="1" applyProtection="1">
      <alignment horizontal="left" vertical="center" wrapText="1"/>
    </xf>
    <xf numFmtId="4" fontId="1" fillId="0" borderId="5" xfId="0" applyNumberFormat="1" applyFont="1" applyBorder="1" applyAlignment="1" applyProtection="1">
      <alignment horizontal="right" vertical="center" indent="1"/>
    </xf>
    <xf numFmtId="168" fontId="5" fillId="0" borderId="5" xfId="5" applyNumberFormat="1" applyFont="1" applyBorder="1" applyAlignment="1" applyProtection="1">
      <alignment horizontal="right" vertical="center" wrapText="1" indent="1"/>
    </xf>
    <xf numFmtId="4" fontId="19" fillId="2" borderId="0" xfId="0" applyNumberFormat="1" applyFont="1" applyFill="1" applyBorder="1" applyAlignment="1" applyProtection="1">
      <alignment horizontal="right" vertical="center"/>
    </xf>
    <xf numFmtId="0" fontId="0" fillId="0" borderId="0" xfId="0" applyAlignment="1" applyProtection="1">
      <alignment vertical="center"/>
    </xf>
    <xf numFmtId="0" fontId="5" fillId="2" borderId="13" xfId="5" applyFont="1" applyFill="1" applyBorder="1" applyAlignment="1" applyProtection="1">
      <alignment horizontal="center" wrapText="1"/>
    </xf>
    <xf numFmtId="0" fontId="5" fillId="2" borderId="0" xfId="5" applyFont="1" applyFill="1" applyBorder="1" applyAlignment="1" applyProtection="1">
      <alignment horizontal="center" wrapText="1"/>
    </xf>
    <xf numFmtId="0" fontId="5" fillId="2" borderId="0" xfId="5" applyFont="1" applyFill="1" applyBorder="1" applyAlignment="1" applyProtection="1">
      <alignment vertical="center"/>
    </xf>
    <xf numFmtId="0" fontId="5" fillId="2" borderId="0" xfId="5" applyFont="1" applyFill="1" applyBorder="1" applyAlignment="1" applyProtection="1">
      <alignment horizontal="center" vertical="center"/>
    </xf>
    <xf numFmtId="0" fontId="5" fillId="2" borderId="0" xfId="5" applyFont="1" applyFill="1" applyBorder="1" applyAlignment="1" applyProtection="1">
      <alignment horizontal="left" vertical="center"/>
    </xf>
    <xf numFmtId="0" fontId="1" fillId="2" borderId="0" xfId="5" applyFont="1" applyFill="1" applyBorder="1" applyProtection="1"/>
    <xf numFmtId="0" fontId="1" fillId="2" borderId="0" xfId="5" applyFont="1" applyFill="1" applyBorder="1" applyAlignment="1" applyProtection="1">
      <alignment horizontal="right" vertical="center" indent="1"/>
    </xf>
    <xf numFmtId="0" fontId="21" fillId="2" borderId="0" xfId="5" applyFont="1" applyFill="1" applyBorder="1" applyAlignment="1" applyProtection="1">
      <alignment vertical="center"/>
    </xf>
    <xf numFmtId="0" fontId="1" fillId="2" borderId="0" xfId="5" applyFont="1" applyFill="1" applyBorder="1" applyAlignment="1" applyProtection="1">
      <alignment horizontal="left" vertical="center"/>
    </xf>
    <xf numFmtId="172" fontId="1" fillId="2" borderId="0" xfId="5" applyNumberFormat="1" applyFont="1" applyFill="1" applyBorder="1" applyAlignment="1" applyProtection="1">
      <alignment horizontal="right" vertical="center" indent="1"/>
    </xf>
    <xf numFmtId="0" fontId="22" fillId="0" borderId="1" xfId="7" applyBorder="1" applyAlignment="1" applyProtection="1"/>
    <xf numFmtId="0" fontId="23" fillId="2" borderId="13" xfId="5" applyFont="1" applyFill="1" applyBorder="1" applyAlignment="1" applyProtection="1">
      <alignment horizontal="center"/>
    </xf>
    <xf numFmtId="10" fontId="21" fillId="0" borderId="3" xfId="5" applyNumberFormat="1" applyFont="1" applyBorder="1" applyAlignment="1" applyProtection="1">
      <alignment horizontal="justify" vertical="center"/>
    </xf>
    <xf numFmtId="0" fontId="1" fillId="0" borderId="3" xfId="5" applyFont="1" applyBorder="1" applyAlignment="1" applyProtection="1">
      <alignment horizontal="center" vertical="center" wrapText="1"/>
    </xf>
    <xf numFmtId="0" fontId="1" fillId="3" borderId="3" xfId="5" applyFont="1" applyFill="1" applyBorder="1" applyAlignment="1" applyProtection="1">
      <alignment horizontal="center" vertical="center"/>
    </xf>
    <xf numFmtId="4" fontId="1" fillId="2" borderId="3" xfId="5" applyNumberFormat="1" applyFont="1" applyFill="1" applyBorder="1" applyAlignment="1" applyProtection="1">
      <alignment horizontal="right" vertical="center" indent="1"/>
    </xf>
    <xf numFmtId="4" fontId="5" fillId="4" borderId="6" xfId="5" applyNumberFormat="1" applyFont="1" applyFill="1" applyBorder="1" applyAlignment="1" applyProtection="1">
      <alignment horizontal="right" vertical="center" wrapText="1" indent="1"/>
    </xf>
    <xf numFmtId="10" fontId="21" fillId="0" borderId="20" xfId="5" applyNumberFormat="1" applyFont="1" applyBorder="1" applyAlignment="1" applyProtection="1">
      <alignment horizontal="justify" vertical="center"/>
    </xf>
    <xf numFmtId="10" fontId="21" fillId="2" borderId="0" xfId="5" applyNumberFormat="1" applyFont="1" applyFill="1" applyBorder="1" applyAlignment="1" applyProtection="1">
      <alignment horizontal="justify" vertical="center"/>
    </xf>
    <xf numFmtId="4" fontId="5" fillId="2" borderId="18" xfId="5" applyNumberFormat="1" applyFont="1" applyFill="1" applyBorder="1" applyAlignment="1" applyProtection="1">
      <alignment horizontal="right" vertical="center" indent="1"/>
    </xf>
    <xf numFmtId="0" fontId="21" fillId="0" borderId="3" xfId="5" applyFont="1" applyBorder="1" applyAlignment="1" applyProtection="1">
      <alignment vertical="center"/>
    </xf>
    <xf numFmtId="4" fontId="1" fillId="2" borderId="21" xfId="5" applyNumberFormat="1" applyFont="1" applyFill="1" applyBorder="1" applyAlignment="1" applyProtection="1">
      <alignment horizontal="right" vertical="center" indent="1"/>
    </xf>
    <xf numFmtId="0" fontId="25" fillId="0" borderId="3" xfId="5" applyFont="1" applyBorder="1" applyAlignment="1" applyProtection="1">
      <alignment horizontal="justify" vertical="center"/>
    </xf>
    <xf numFmtId="0" fontId="21" fillId="0" borderId="3" xfId="5" applyFont="1" applyBorder="1" applyAlignment="1" applyProtection="1">
      <alignment horizontal="justify" vertical="center"/>
    </xf>
    <xf numFmtId="10" fontId="21" fillId="2" borderId="20" xfId="5" applyNumberFormat="1" applyFont="1" applyFill="1" applyBorder="1" applyAlignment="1" applyProtection="1">
      <alignment horizontal="justify" vertical="center"/>
    </xf>
    <xf numFmtId="10" fontId="21" fillId="0" borderId="0" xfId="5" applyNumberFormat="1" applyFont="1" applyBorder="1" applyAlignment="1" applyProtection="1">
      <alignment horizontal="justify" vertical="center"/>
    </xf>
    <xf numFmtId="4" fontId="1" fillId="2" borderId="4" xfId="5" applyNumberFormat="1" applyFont="1" applyFill="1" applyBorder="1" applyAlignment="1" applyProtection="1">
      <alignment horizontal="right" vertical="center" indent="1"/>
    </xf>
    <xf numFmtId="0" fontId="22" fillId="0" borderId="1" xfId="7" applyBorder="1" applyAlignment="1" applyProtection="1">
      <alignment horizontal="left"/>
    </xf>
    <xf numFmtId="172" fontId="1" fillId="0" borderId="3" xfId="5" applyNumberFormat="1" applyFont="1" applyBorder="1" applyAlignment="1" applyProtection="1">
      <alignment horizontal="right" vertical="center" indent="1"/>
    </xf>
    <xf numFmtId="0" fontId="21" fillId="0" borderId="3" xfId="5" applyFont="1" applyBorder="1" applyAlignment="1" applyProtection="1">
      <alignment vertical="center" shrinkToFit="1"/>
    </xf>
    <xf numFmtId="0" fontId="25" fillId="0" borderId="3" xfId="5" applyFont="1" applyBorder="1" applyAlignment="1" applyProtection="1">
      <alignment vertical="center"/>
    </xf>
    <xf numFmtId="2" fontId="1" fillId="0" borderId="3" xfId="5" applyNumberFormat="1" applyFont="1" applyBorder="1" applyAlignment="1" applyProtection="1">
      <alignment horizontal="right" vertical="center" indent="1"/>
    </xf>
    <xf numFmtId="0" fontId="26" fillId="0" borderId="3" xfId="5" applyFont="1" applyBorder="1" applyAlignment="1" applyProtection="1">
      <alignment vertical="center"/>
    </xf>
    <xf numFmtId="10" fontId="21" fillId="2" borderId="3" xfId="5" applyNumberFormat="1" applyFont="1" applyFill="1" applyBorder="1" applyAlignment="1" applyProtection="1">
      <alignment horizontal="justify" vertical="center"/>
    </xf>
    <xf numFmtId="0" fontId="5" fillId="2" borderId="0" xfId="5" applyFont="1" applyFill="1" applyBorder="1" applyAlignment="1" applyProtection="1">
      <alignment horizontal="left"/>
    </xf>
    <xf numFmtId="0" fontId="1" fillId="0" borderId="0" xfId="5" applyProtection="1"/>
    <xf numFmtId="0" fontId="1" fillId="0" borderId="0" xfId="5" applyFont="1" applyProtection="1"/>
    <xf numFmtId="172" fontId="5" fillId="2" borderId="3" xfId="5" applyNumberFormat="1" applyFont="1" applyFill="1" applyBorder="1" applyAlignment="1" applyProtection="1">
      <alignment horizontal="right" vertical="center" indent="1"/>
    </xf>
    <xf numFmtId="0" fontId="21" fillId="2" borderId="3" xfId="5" applyFont="1" applyFill="1" applyBorder="1" applyAlignment="1" applyProtection="1">
      <alignment vertical="center"/>
    </xf>
    <xf numFmtId="172" fontId="1" fillId="2" borderId="4" xfId="5" applyNumberFormat="1" applyFont="1" applyFill="1" applyBorder="1" applyAlignment="1" applyProtection="1">
      <alignment horizontal="right" vertical="center" indent="1"/>
    </xf>
    <xf numFmtId="0" fontId="25" fillId="0" borderId="3" xfId="5" applyFont="1" applyBorder="1" applyAlignment="1" applyProtection="1">
      <alignment vertical="center" wrapText="1"/>
    </xf>
    <xf numFmtId="0" fontId="21" fillId="0" borderId="3" xfId="5" applyFont="1" applyBorder="1" applyAlignment="1" applyProtection="1">
      <alignment vertical="center" wrapText="1"/>
    </xf>
    <xf numFmtId="0" fontId="25" fillId="2" borderId="0" xfId="5" applyFont="1" applyFill="1" applyBorder="1" applyAlignment="1" applyProtection="1">
      <alignment horizontal="center" vertical="center"/>
    </xf>
    <xf numFmtId="172" fontId="5" fillId="2" borderId="2" xfId="8" applyNumberFormat="1" applyFont="1" applyFill="1" applyBorder="1" applyAlignment="1" applyProtection="1">
      <alignment horizontal="right" vertical="center" indent="1"/>
    </xf>
    <xf numFmtId="0" fontId="29" fillId="2" borderId="0" xfId="5" applyFont="1" applyFill="1" applyBorder="1" applyAlignment="1" applyProtection="1">
      <alignment horizontal="left" vertical="center"/>
    </xf>
    <xf numFmtId="0" fontId="29" fillId="2" borderId="0" xfId="5" applyFont="1" applyFill="1" applyBorder="1" applyAlignment="1" applyProtection="1">
      <alignment horizontal="left" vertical="center" wrapText="1"/>
    </xf>
    <xf numFmtId="0" fontId="9" fillId="2" borderId="0" xfId="0" applyFont="1" applyFill="1" applyBorder="1" applyProtection="1"/>
    <xf numFmtId="0" fontId="7" fillId="0" borderId="23" xfId="0" applyFont="1" applyBorder="1" applyAlignment="1" applyProtection="1">
      <alignment horizontal="center"/>
    </xf>
    <xf numFmtId="0" fontId="7" fillId="0" borderId="24" xfId="0" applyFont="1" applyBorder="1" applyAlignment="1" applyProtection="1">
      <alignment horizontal="center"/>
    </xf>
    <xf numFmtId="0" fontId="9" fillId="2" borderId="25" xfId="0" applyFont="1" applyFill="1" applyBorder="1" applyProtection="1"/>
    <xf numFmtId="0" fontId="9" fillId="2" borderId="27" xfId="0" applyFont="1" applyFill="1" applyBorder="1" applyProtection="1"/>
    <xf numFmtId="0" fontId="9" fillId="2" borderId="29" xfId="0" applyFont="1" applyFill="1" applyBorder="1" applyProtection="1"/>
    <xf numFmtId="0" fontId="7" fillId="0" borderId="32" xfId="0" applyFont="1" applyBorder="1" applyProtection="1"/>
    <xf numFmtId="0" fontId="7" fillId="2" borderId="0" xfId="0" applyFont="1" applyFill="1" applyBorder="1" applyProtection="1"/>
    <xf numFmtId="10" fontId="7" fillId="2" borderId="0" xfId="2" applyNumberFormat="1" applyFont="1" applyFill="1" applyBorder="1" applyAlignment="1" applyProtection="1">
      <alignment horizontal="right" indent="6"/>
    </xf>
    <xf numFmtId="0" fontId="8" fillId="2" borderId="33" xfId="0" applyFont="1" applyFill="1" applyBorder="1" applyProtection="1"/>
    <xf numFmtId="0" fontId="9" fillId="2" borderId="33" xfId="0" applyFont="1" applyFill="1" applyBorder="1" applyProtection="1"/>
    <xf numFmtId="0" fontId="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wrapText="1"/>
    </xf>
    <xf numFmtId="0" fontId="1" fillId="2" borderId="37" xfId="5" applyFont="1" applyFill="1" applyBorder="1" applyAlignment="1" applyProtection="1">
      <alignment horizontal="center" vertical="center" wrapText="1"/>
    </xf>
    <xf numFmtId="0" fontId="35"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xf>
    <xf numFmtId="0" fontId="1" fillId="2" borderId="0" xfId="5"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1" fillId="0" borderId="0" xfId="0" applyFont="1"/>
    <xf numFmtId="0" fontId="1" fillId="0" borderId="0" xfId="0" applyFont="1" applyAlignment="1">
      <alignment vertical="center" wrapText="1"/>
    </xf>
    <xf numFmtId="0" fontId="31" fillId="0" borderId="0" xfId="0" applyFont="1"/>
    <xf numFmtId="0" fontId="1" fillId="0" borderId="0" xfId="0" applyFont="1" applyBorder="1" applyProtection="1"/>
    <xf numFmtId="0" fontId="1" fillId="0" borderId="0" xfId="0" applyFont="1" applyBorder="1" applyAlignment="1" applyProtection="1">
      <alignment vertical="center" wrapText="1"/>
    </xf>
    <xf numFmtId="0" fontId="5" fillId="0" borderId="3"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12" xfId="0" applyFont="1" applyBorder="1" applyAlignment="1" applyProtection="1">
      <alignment horizontal="center" vertical="center"/>
    </xf>
    <xf numFmtId="4" fontId="9" fillId="0" borderId="3" xfId="0" applyNumberFormat="1" applyFont="1" applyBorder="1" applyAlignment="1" applyProtection="1">
      <alignment horizontal="left" vertical="center" wrapText="1"/>
    </xf>
    <xf numFmtId="0" fontId="1" fillId="2" borderId="18" xfId="0" applyFont="1" applyFill="1" applyBorder="1" applyAlignment="1" applyProtection="1">
      <alignment horizontal="center" vertical="center"/>
    </xf>
    <xf numFmtId="4" fontId="5" fillId="2" borderId="12" xfId="0" applyNumberFormat="1" applyFont="1" applyFill="1" applyBorder="1" applyAlignment="1" applyProtection="1">
      <alignment horizontal="right" vertical="center" indent="1"/>
    </xf>
    <xf numFmtId="4" fontId="1" fillId="0" borderId="0" xfId="0" applyNumberFormat="1" applyFont="1" applyBorder="1" applyAlignment="1">
      <alignment horizontal="center"/>
    </xf>
    <xf numFmtId="4" fontId="1" fillId="2" borderId="0" xfId="0" applyNumberFormat="1" applyFont="1" applyFill="1" applyBorder="1" applyAlignment="1">
      <alignment horizontal="center"/>
    </xf>
    <xf numFmtId="4" fontId="1" fillId="7" borderId="0" xfId="0" applyNumberFormat="1" applyFont="1" applyFill="1" applyBorder="1" applyAlignment="1">
      <alignment horizontal="center"/>
    </xf>
    <xf numFmtId="4" fontId="1" fillId="2" borderId="0" xfId="0" applyNumberFormat="1" applyFont="1" applyFill="1" applyBorder="1" applyAlignment="1"/>
    <xf numFmtId="0" fontId="1" fillId="0" borderId="0" xfId="0" applyFont="1" applyAlignment="1"/>
    <xf numFmtId="0" fontId="5" fillId="4" borderId="3" xfId="0" applyFont="1" applyFill="1" applyBorder="1" applyAlignment="1" applyProtection="1">
      <alignment horizontal="center" vertical="center" wrapText="1"/>
    </xf>
    <xf numFmtId="4" fontId="1" fillId="0" borderId="0" xfId="0" applyNumberFormat="1" applyFont="1" applyBorder="1" applyAlignment="1">
      <alignment horizontal="center" vertical="center"/>
    </xf>
    <xf numFmtId="4" fontId="1" fillId="2" borderId="0" xfId="0" applyNumberFormat="1" applyFont="1" applyFill="1" applyBorder="1" applyAlignment="1">
      <alignment horizontal="center" vertical="center"/>
    </xf>
    <xf numFmtId="4" fontId="1" fillId="2" borderId="0" xfId="0" applyNumberFormat="1" applyFont="1" applyFill="1" applyBorder="1" applyAlignment="1">
      <alignment vertical="center"/>
    </xf>
    <xf numFmtId="10" fontId="1" fillId="2" borderId="5" xfId="2" applyNumberFormat="1" applyFont="1" applyFill="1" applyBorder="1" applyAlignment="1" applyProtection="1">
      <alignment horizontal="center" vertical="center" wrapText="1"/>
    </xf>
    <xf numFmtId="174" fontId="1" fillId="2" borderId="0" xfId="0" applyNumberFormat="1" applyFont="1" applyFill="1" applyBorder="1" applyAlignment="1">
      <alignment horizontal="center"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10" fontId="1" fillId="2" borderId="3" xfId="2"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xf>
    <xf numFmtId="0" fontId="1" fillId="0" borderId="0" xfId="0" applyFont="1" applyAlignment="1">
      <alignment horizontal="left" vertical="center"/>
    </xf>
    <xf numFmtId="0" fontId="5" fillId="0" borderId="0" xfId="0" applyFont="1"/>
    <xf numFmtId="2" fontId="1" fillId="0" borderId="0" xfId="0" applyNumberFormat="1" applyFont="1"/>
    <xf numFmtId="0" fontId="41" fillId="0" borderId="0" xfId="0" applyFont="1"/>
    <xf numFmtId="0" fontId="1" fillId="0" borderId="0" xfId="0" applyFont="1" applyAlignment="1">
      <alignment horizontal="left" vertical="center" wrapText="1"/>
    </xf>
    <xf numFmtId="0" fontId="42" fillId="0" borderId="0" xfId="0" applyFont="1"/>
    <xf numFmtId="0" fontId="43" fillId="0" borderId="0" xfId="0" applyFont="1" applyAlignment="1">
      <alignment vertical="center" wrapText="1"/>
    </xf>
    <xf numFmtId="0" fontId="1" fillId="0" borderId="0" xfId="5" applyFont="1"/>
    <xf numFmtId="0" fontId="1" fillId="8" borderId="0" xfId="5" applyFont="1" applyFill="1"/>
    <xf numFmtId="0" fontId="5" fillId="0" borderId="0" xfId="5" applyFont="1" applyBorder="1" applyAlignment="1" applyProtection="1">
      <alignment vertical="center"/>
    </xf>
    <xf numFmtId="10" fontId="7" fillId="2" borderId="6" xfId="2" applyNumberFormat="1" applyFont="1" applyFill="1" applyBorder="1" applyAlignment="1" applyProtection="1">
      <alignment horizontal="right" indent="3"/>
    </xf>
    <xf numFmtId="4" fontId="9" fillId="0" borderId="3" xfId="0" applyNumberFormat="1" applyFont="1" applyBorder="1" applyAlignment="1" applyProtection="1">
      <alignment horizontal="right" vertical="center" indent="2"/>
    </xf>
    <xf numFmtId="4" fontId="1" fillId="2" borderId="3" xfId="0" applyNumberFormat="1" applyFont="1" applyFill="1" applyBorder="1" applyAlignment="1" applyProtection="1">
      <alignment horizontal="right" vertical="center" indent="2"/>
    </xf>
    <xf numFmtId="2" fontId="1" fillId="2" borderId="3" xfId="0" applyNumberFormat="1" applyFont="1" applyFill="1" applyBorder="1" applyAlignment="1" applyProtection="1">
      <alignment horizontal="right" vertical="center" indent="2"/>
    </xf>
    <xf numFmtId="0" fontId="1" fillId="0" borderId="0" xfId="5" applyFont="1" applyBorder="1" applyProtection="1"/>
    <xf numFmtId="0" fontId="1" fillId="0" borderId="0" xfId="5" applyFont="1" applyBorder="1" applyAlignment="1" applyProtection="1">
      <alignment vertical="center" wrapText="1"/>
    </xf>
    <xf numFmtId="0" fontId="1" fillId="0" borderId="0" xfId="5" applyFont="1" applyBorder="1" applyAlignment="1" applyProtection="1">
      <alignment vertical="center"/>
    </xf>
    <xf numFmtId="0" fontId="1" fillId="0" borderId="0" xfId="5" applyFont="1" applyBorder="1" applyAlignment="1" applyProtection="1">
      <alignment horizontal="right" vertical="center"/>
    </xf>
    <xf numFmtId="168" fontId="21" fillId="2" borderId="3" xfId="5" applyNumberFormat="1" applyFont="1" applyFill="1" applyBorder="1" applyAlignment="1" applyProtection="1">
      <alignment vertical="center"/>
    </xf>
    <xf numFmtId="168" fontId="25" fillId="2" borderId="18" xfId="5" applyNumberFormat="1" applyFont="1" applyFill="1" applyBorder="1" applyAlignment="1" applyProtection="1">
      <alignment vertical="center"/>
    </xf>
    <xf numFmtId="168" fontId="5" fillId="2" borderId="0" xfId="5" applyNumberFormat="1" applyFont="1" applyFill="1" applyBorder="1" applyAlignment="1" applyProtection="1">
      <alignment vertical="center"/>
    </xf>
    <xf numFmtId="0" fontId="1" fillId="0" borderId="0" xfId="5" applyFont="1" applyAlignment="1">
      <alignment vertical="center" wrapText="1"/>
    </xf>
    <xf numFmtId="168" fontId="1" fillId="0" borderId="3" xfId="5" applyNumberFormat="1" applyFont="1" applyBorder="1" applyAlignment="1" applyProtection="1">
      <alignment horizontal="right" vertical="center" indent="1"/>
    </xf>
    <xf numFmtId="168" fontId="5" fillId="5" borderId="3" xfId="5" applyNumberFormat="1" applyFont="1" applyFill="1" applyBorder="1" applyAlignment="1" applyProtection="1">
      <alignment horizontal="right" vertical="center" indent="1"/>
    </xf>
    <xf numFmtId="167" fontId="1" fillId="9" borderId="3" xfId="5" applyNumberFormat="1" applyFont="1" applyFill="1" applyBorder="1" applyAlignment="1" applyProtection="1">
      <alignment horizontal="center" vertical="center" wrapText="1"/>
    </xf>
    <xf numFmtId="171" fontId="1" fillId="2" borderId="3" xfId="0" applyNumberFormat="1" applyFont="1" applyFill="1" applyBorder="1" applyAlignment="1" applyProtection="1">
      <alignment horizontal="right" vertical="center" indent="1"/>
    </xf>
    <xf numFmtId="0" fontId="0" fillId="0" borderId="36" xfId="0" applyBorder="1" applyProtection="1"/>
    <xf numFmtId="0" fontId="0" fillId="0" borderId="0" xfId="0" applyBorder="1" applyAlignment="1" applyProtection="1"/>
    <xf numFmtId="175" fontId="5" fillId="0" borderId="3" xfId="5" applyNumberFormat="1" applyFont="1" applyBorder="1" applyAlignment="1" applyProtection="1">
      <alignment horizontal="right" vertical="center" indent="1"/>
    </xf>
    <xf numFmtId="0" fontId="0" fillId="0" borderId="35" xfId="0" applyBorder="1" applyProtection="1"/>
    <xf numFmtId="0" fontId="17" fillId="2" borderId="0" xfId="5" applyFont="1" applyFill="1" applyBorder="1" applyAlignment="1" applyProtection="1">
      <alignment vertical="center"/>
    </xf>
    <xf numFmtId="0" fontId="10" fillId="2" borderId="8" xfId="0" applyFont="1" applyFill="1" applyBorder="1" applyAlignment="1" applyProtection="1"/>
    <xf numFmtId="49" fontId="1" fillId="10" borderId="3" xfId="5" applyNumberFormat="1" applyFont="1" applyFill="1" applyBorder="1" applyAlignment="1" applyProtection="1">
      <alignment horizontal="center" wrapText="1"/>
    </xf>
    <xf numFmtId="167" fontId="1" fillId="10" borderId="3" xfId="5" applyNumberFormat="1" applyFont="1" applyFill="1" applyBorder="1" applyAlignment="1" applyProtection="1">
      <alignment horizontal="center" wrapText="1"/>
    </xf>
    <xf numFmtId="169" fontId="1" fillId="11" borderId="3" xfId="0" applyNumberFormat="1" applyFont="1" applyFill="1" applyBorder="1" applyAlignment="1" applyProtection="1">
      <alignment horizontal="center"/>
    </xf>
    <xf numFmtId="10" fontId="1" fillId="11" borderId="3" xfId="0" applyNumberFormat="1" applyFont="1" applyFill="1" applyBorder="1" applyAlignment="1" applyProtection="1">
      <alignment horizontal="center"/>
    </xf>
    <xf numFmtId="170" fontId="9" fillId="11" borderId="3" xfId="0" applyNumberFormat="1" applyFont="1" applyFill="1" applyBorder="1" applyAlignment="1" applyProtection="1">
      <alignment horizontal="center"/>
    </xf>
    <xf numFmtId="169" fontId="1" fillId="11" borderId="3" xfId="0" applyNumberFormat="1" applyFont="1" applyFill="1" applyBorder="1" applyAlignment="1" applyProtection="1">
      <alignment horizontal="right" indent="1"/>
    </xf>
    <xf numFmtId="171" fontId="1" fillId="11" borderId="3" xfId="0" applyNumberFormat="1" applyFont="1" applyFill="1" applyBorder="1" applyAlignment="1" applyProtection="1">
      <alignment horizontal="right" vertical="center" indent="1"/>
    </xf>
    <xf numFmtId="4" fontId="1" fillId="9" borderId="0" xfId="0" applyNumberFormat="1" applyFont="1" applyFill="1" applyBorder="1" applyAlignment="1" applyProtection="1">
      <alignment horizontal="center" vertical="center"/>
    </xf>
    <xf numFmtId="0" fontId="8" fillId="0" borderId="0" xfId="0" applyFont="1" applyBorder="1" applyAlignment="1" applyProtection="1">
      <alignment horizontal="left"/>
    </xf>
    <xf numFmtId="0" fontId="8" fillId="0" borderId="47" xfId="0" applyFont="1" applyBorder="1" applyProtection="1"/>
    <xf numFmtId="0" fontId="0" fillId="0" borderId="47" xfId="0" applyBorder="1" applyProtection="1"/>
    <xf numFmtId="4" fontId="45" fillId="13" borderId="3" xfId="5" applyNumberFormat="1" applyFont="1" applyFill="1" applyBorder="1" applyAlignment="1" applyProtection="1">
      <alignment horizontal="center" vertical="center" wrapText="1"/>
    </xf>
    <xf numFmtId="4" fontId="46" fillId="13" borderId="3" xfId="5" applyNumberFormat="1" applyFont="1" applyFill="1" applyBorder="1" applyAlignment="1" applyProtection="1">
      <alignment horizontal="center" vertical="center"/>
    </xf>
    <xf numFmtId="171" fontId="1" fillId="9" borderId="3" xfId="0" applyNumberFormat="1" applyFont="1" applyFill="1" applyBorder="1" applyAlignment="1" applyProtection="1">
      <alignment horizontal="right" vertical="center" indent="1"/>
    </xf>
    <xf numFmtId="1" fontId="1" fillId="0" borderId="5" xfId="5" applyNumberFormat="1" applyFont="1" applyBorder="1" applyAlignment="1" applyProtection="1">
      <alignment horizontal="center" vertical="center"/>
    </xf>
    <xf numFmtId="1" fontId="1" fillId="0" borderId="3" xfId="5" applyNumberFormat="1" applyFont="1" applyBorder="1" applyAlignment="1" applyProtection="1">
      <alignment horizontal="center" vertical="center"/>
    </xf>
    <xf numFmtId="4" fontId="46" fillId="9" borderId="0" xfId="9" applyNumberFormat="1" applyFont="1" applyFill="1" applyBorder="1" applyAlignment="1" applyProtection="1">
      <alignment horizontal="right" vertical="center"/>
    </xf>
    <xf numFmtId="0" fontId="5" fillId="11" borderId="3" xfId="5" applyFont="1" applyFill="1" applyBorder="1" applyAlignment="1" applyProtection="1">
      <alignment horizontal="center" vertical="center"/>
    </xf>
    <xf numFmtId="0" fontId="1" fillId="11" borderId="3" xfId="5" applyFont="1" applyFill="1" applyBorder="1" applyAlignment="1" applyProtection="1">
      <alignment horizontal="center" vertical="center"/>
    </xf>
    <xf numFmtId="173" fontId="1" fillId="11" borderId="3" xfId="5" applyNumberFormat="1" applyFont="1" applyFill="1" applyBorder="1" applyAlignment="1" applyProtection="1">
      <alignment horizontal="center" vertical="center"/>
    </xf>
    <xf numFmtId="4" fontId="1" fillId="11" borderId="3" xfId="5" applyNumberFormat="1" applyFont="1" applyFill="1" applyBorder="1" applyAlignment="1" applyProtection="1">
      <alignment horizontal="right" vertical="center" indent="1"/>
    </xf>
    <xf numFmtId="4" fontId="1" fillId="11" borderId="4" xfId="5" applyNumberFormat="1" applyFont="1" applyFill="1" applyBorder="1" applyAlignment="1" applyProtection="1">
      <alignment horizontal="right" vertical="center" indent="1"/>
    </xf>
    <xf numFmtId="4" fontId="1" fillId="11" borderId="18" xfId="5" applyNumberFormat="1" applyFont="1" applyFill="1" applyBorder="1" applyAlignment="1" applyProtection="1">
      <alignment horizontal="right" vertical="center" indent="1"/>
    </xf>
    <xf numFmtId="172" fontId="1" fillId="11" borderId="3" xfId="5" applyNumberFormat="1" applyFont="1" applyFill="1" applyBorder="1" applyAlignment="1" applyProtection="1">
      <alignment horizontal="right" vertical="center" indent="1"/>
    </xf>
    <xf numFmtId="172" fontId="1" fillId="11" borderId="4" xfId="5" applyNumberFormat="1" applyFont="1" applyFill="1" applyBorder="1" applyAlignment="1" applyProtection="1">
      <alignment horizontal="right" vertical="center" indent="1"/>
    </xf>
    <xf numFmtId="10" fontId="7" fillId="11" borderId="26" xfId="2" applyNumberFormat="1" applyFont="1" applyFill="1" applyBorder="1" applyAlignment="1" applyProtection="1">
      <alignment horizontal="right" indent="3"/>
    </xf>
    <xf numFmtId="10" fontId="7" fillId="11" borderId="28" xfId="2" applyNumberFormat="1" applyFont="1" applyFill="1" applyBorder="1" applyAlignment="1" applyProtection="1">
      <alignment horizontal="right" indent="3"/>
    </xf>
    <xf numFmtId="10" fontId="7" fillId="11" borderId="30" xfId="2" applyNumberFormat="1" applyFont="1" applyFill="1" applyBorder="1" applyAlignment="1" applyProtection="1">
      <alignment horizontal="right" indent="3"/>
    </xf>
    <xf numFmtId="4" fontId="1" fillId="11" borderId="37" xfId="1" applyNumberFormat="1" applyFont="1" applyFill="1" applyBorder="1" applyAlignment="1" applyProtection="1">
      <alignment horizontal="right" vertical="center" indent="1"/>
    </xf>
    <xf numFmtId="175" fontId="5" fillId="2" borderId="3" xfId="0" applyNumberFormat="1" applyFont="1" applyFill="1" applyBorder="1" applyAlignment="1" applyProtection="1">
      <alignment horizontal="right" vertical="center" indent="2"/>
    </xf>
    <xf numFmtId="175" fontId="1" fillId="2" borderId="3" xfId="0" applyNumberFormat="1" applyFont="1" applyFill="1" applyBorder="1" applyAlignment="1" applyProtection="1">
      <alignment horizontal="right" vertical="center" indent="2"/>
    </xf>
    <xf numFmtId="175" fontId="9" fillId="0" borderId="3" xfId="0" applyNumberFormat="1" applyFont="1" applyBorder="1" applyAlignment="1" applyProtection="1">
      <alignment horizontal="right" vertical="center" indent="1"/>
    </xf>
    <xf numFmtId="0" fontId="13" fillId="2" borderId="0" xfId="5" applyFont="1" applyFill="1" applyBorder="1" applyAlignment="1" applyProtection="1">
      <alignment horizontal="center" vertical="center" wrapText="1"/>
    </xf>
    <xf numFmtId="0" fontId="1" fillId="0" borderId="3" xfId="5" applyFont="1" applyBorder="1" applyAlignment="1" applyProtection="1">
      <alignment vertical="center"/>
    </xf>
    <xf numFmtId="0" fontId="5" fillId="2" borderId="0" xfId="5" applyFont="1" applyFill="1" applyBorder="1" applyAlignment="1" applyProtection="1">
      <alignment horizontal="center"/>
    </xf>
    <xf numFmtId="0" fontId="5" fillId="2" borderId="0" xfId="5" applyFont="1" applyFill="1" applyBorder="1" applyAlignment="1" applyProtection="1">
      <alignment horizontal="center" vertical="center" wrapText="1"/>
    </xf>
    <xf numFmtId="0" fontId="1" fillId="2" borderId="0" xfId="5" applyFont="1" applyFill="1" applyBorder="1" applyAlignment="1" applyProtection="1">
      <alignment horizontal="center" vertical="center"/>
    </xf>
    <xf numFmtId="0" fontId="11" fillId="2" borderId="0" xfId="5" applyFont="1" applyFill="1" applyBorder="1" applyAlignment="1" applyProtection="1">
      <alignment horizontal="center" vertical="center"/>
    </xf>
    <xf numFmtId="0" fontId="1" fillId="4" borderId="3" xfId="5" applyFont="1" applyFill="1" applyBorder="1" applyAlignment="1" applyProtection="1">
      <alignment horizontal="center" vertical="center" wrapText="1"/>
    </xf>
    <xf numFmtId="0" fontId="22" fillId="2" borderId="1" xfId="7" applyFont="1" applyFill="1" applyBorder="1" applyAlignment="1" applyProtection="1">
      <alignment horizontal="left"/>
    </xf>
    <xf numFmtId="0" fontId="5" fillId="2" borderId="0" xfId="0"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12" fontId="0" fillId="0" borderId="0" xfId="0" applyNumberFormat="1" applyProtection="1"/>
    <xf numFmtId="0" fontId="9" fillId="15" borderId="5" xfId="0" applyFont="1" applyFill="1" applyBorder="1" applyAlignment="1" applyProtection="1">
      <alignment horizontal="left" vertical="center" wrapText="1"/>
    </xf>
    <xf numFmtId="169" fontId="1" fillId="9" borderId="3" xfId="0" applyNumberFormat="1" applyFont="1" applyFill="1" applyBorder="1" applyAlignment="1" applyProtection="1">
      <alignment horizontal="right" indent="1"/>
    </xf>
    <xf numFmtId="175" fontId="46" fillId="0" borderId="3" xfId="4" applyNumberFormat="1" applyFont="1" applyBorder="1" applyAlignment="1" applyProtection="1">
      <alignment horizontal="right" vertical="center" indent="1"/>
    </xf>
    <xf numFmtId="4" fontId="1" fillId="0" borderId="3" xfId="5" applyNumberFormat="1" applyFont="1" applyBorder="1" applyAlignment="1" applyProtection="1">
      <alignment horizontal="right" vertical="center" indent="1"/>
      <protection locked="0"/>
    </xf>
    <xf numFmtId="171" fontId="1" fillId="2" borderId="5" xfId="0" applyNumberFormat="1" applyFont="1" applyFill="1" applyBorder="1" applyAlignment="1" applyProtection="1">
      <alignment horizontal="right" vertical="center" indent="1"/>
    </xf>
    <xf numFmtId="171" fontId="1" fillId="9" borderId="5" xfId="0" applyNumberFormat="1" applyFont="1" applyFill="1" applyBorder="1" applyAlignment="1" applyProtection="1">
      <alignment horizontal="right" vertical="center" indent="1"/>
    </xf>
    <xf numFmtId="171" fontId="1" fillId="10" borderId="3" xfId="0" applyNumberFormat="1" applyFont="1" applyFill="1" applyBorder="1" applyAlignment="1" applyProtection="1">
      <alignment horizontal="right" vertical="center" indent="1"/>
    </xf>
    <xf numFmtId="7" fontId="46" fillId="9" borderId="0" xfId="1" applyNumberFormat="1" applyFont="1" applyFill="1" applyBorder="1" applyAlignment="1" applyProtection="1">
      <alignment horizontal="center" vertical="center"/>
    </xf>
    <xf numFmtId="1" fontId="1" fillId="0" borderId="7" xfId="5" applyNumberFormat="1" applyFont="1" applyBorder="1" applyAlignment="1" applyProtection="1">
      <alignment horizontal="center" vertical="center"/>
    </xf>
    <xf numFmtId="175" fontId="46" fillId="0" borderId="0" xfId="5" applyNumberFormat="1" applyFont="1" applyBorder="1" applyAlignment="1" applyProtection="1">
      <alignment horizontal="right" vertical="center" indent="1"/>
    </xf>
    <xf numFmtId="0" fontId="9" fillId="0" borderId="0" xfId="0" applyFont="1" applyBorder="1" applyAlignment="1" applyProtection="1">
      <alignment horizontal="left" vertical="center" wrapText="1"/>
    </xf>
    <xf numFmtId="171" fontId="1" fillId="9" borderId="0" xfId="0" applyNumberFormat="1" applyFont="1" applyFill="1" applyBorder="1" applyAlignment="1" applyProtection="1">
      <alignment horizontal="right" vertical="center" indent="1"/>
    </xf>
    <xf numFmtId="1" fontId="1" fillId="0" borderId="0" xfId="5" applyNumberFormat="1" applyFont="1" applyBorder="1" applyAlignment="1" applyProtection="1">
      <alignment horizontal="center" vertical="center"/>
    </xf>
    <xf numFmtId="4" fontId="1" fillId="0" borderId="0" xfId="5" applyNumberFormat="1" applyFont="1" applyBorder="1" applyAlignment="1" applyProtection="1">
      <alignment horizontal="right" vertical="center" indent="1"/>
    </xf>
    <xf numFmtId="1" fontId="1" fillId="2" borderId="0" xfId="5" applyNumberFormat="1" applyFont="1" applyFill="1" applyBorder="1" applyAlignment="1" applyProtection="1">
      <alignment horizontal="center" vertical="center" wrapText="1"/>
    </xf>
    <xf numFmtId="4" fontId="46" fillId="13" borderId="18" xfId="5" applyNumberFormat="1" applyFont="1" applyFill="1" applyBorder="1" applyAlignment="1" applyProtection="1">
      <alignment horizontal="center" vertical="center" wrapText="1"/>
    </xf>
    <xf numFmtId="1" fontId="1" fillId="2" borderId="49" xfId="5" applyNumberFormat="1" applyFont="1" applyFill="1" applyBorder="1" applyAlignment="1" applyProtection="1">
      <alignment horizontal="center" vertical="center" wrapText="1"/>
    </xf>
    <xf numFmtId="10" fontId="44" fillId="15" borderId="3" xfId="0" applyNumberFormat="1" applyFont="1" applyFill="1" applyBorder="1" applyAlignment="1" applyProtection="1">
      <alignment horizontal="center"/>
    </xf>
    <xf numFmtId="171" fontId="1" fillId="14" borderId="5" xfId="0" applyNumberFormat="1" applyFont="1" applyFill="1" applyBorder="1" applyAlignment="1" applyProtection="1">
      <alignment horizontal="right" vertical="center" indent="1"/>
    </xf>
    <xf numFmtId="4" fontId="1" fillId="16" borderId="5" xfId="5" applyNumberFormat="1" applyFont="1" applyFill="1" applyBorder="1" applyAlignment="1" applyProtection="1">
      <alignment horizontal="right" vertical="center" wrapText="1" indent="1"/>
    </xf>
    <xf numFmtId="4" fontId="1" fillId="16" borderId="5" xfId="0" applyNumberFormat="1" applyFont="1" applyFill="1" applyBorder="1" applyAlignment="1" applyProtection="1">
      <alignment horizontal="right" vertical="center" indent="1"/>
    </xf>
    <xf numFmtId="4" fontId="1" fillId="15" borderId="5" xfId="5" applyNumberFormat="1" applyFont="1" applyFill="1" applyBorder="1" applyAlignment="1" applyProtection="1">
      <alignment horizontal="right" vertical="center" wrapText="1" indent="1"/>
    </xf>
    <xf numFmtId="168" fontId="5" fillId="15" borderId="5" xfId="5" applyNumberFormat="1" applyFont="1" applyFill="1" applyBorder="1" applyAlignment="1" applyProtection="1">
      <alignment horizontal="right" vertical="center" wrapText="1" indent="1"/>
    </xf>
    <xf numFmtId="4" fontId="46" fillId="16" borderId="0" xfId="5" applyNumberFormat="1" applyFont="1" applyFill="1" applyBorder="1" applyAlignment="1" applyProtection="1">
      <alignment horizontal="center" vertical="center"/>
    </xf>
    <xf numFmtId="4" fontId="44" fillId="15" borderId="0" xfId="5" applyNumberFormat="1" applyFont="1" applyFill="1" applyBorder="1" applyAlignment="1">
      <alignment horizontal="right" vertical="center" wrapText="1"/>
    </xf>
    <xf numFmtId="0" fontId="0" fillId="0" borderId="0" xfId="0" applyBorder="1"/>
    <xf numFmtId="0" fontId="44" fillId="15" borderId="3" xfId="5" applyFont="1" applyFill="1" applyBorder="1" applyAlignment="1" applyProtection="1">
      <alignment vertical="center" wrapText="1"/>
    </xf>
    <xf numFmtId="0" fontId="44" fillId="15" borderId="3" xfId="5" applyFont="1" applyFill="1" applyBorder="1" applyAlignment="1" applyProtection="1">
      <alignment horizontal="center" vertical="center" wrapText="1"/>
    </xf>
    <xf numFmtId="177" fontId="44" fillId="15" borderId="3" xfId="4" applyNumberFormat="1" applyFont="1" applyFill="1" applyBorder="1" applyAlignment="1" applyProtection="1">
      <alignment horizontal="center" vertical="center" wrapText="1"/>
    </xf>
    <xf numFmtId="4" fontId="44" fillId="15" borderId="3" xfId="5" applyNumberFormat="1" applyFont="1" applyFill="1" applyBorder="1" applyAlignment="1" applyProtection="1">
      <alignment horizontal="right" vertical="center" wrapText="1" indent="1"/>
      <protection locked="0"/>
    </xf>
    <xf numFmtId="0" fontId="44" fillId="19" borderId="3" xfId="5" applyFont="1" applyFill="1" applyBorder="1" applyAlignment="1" applyProtection="1">
      <alignment vertical="center" wrapText="1"/>
    </xf>
    <xf numFmtId="0" fontId="44" fillId="19" borderId="3" xfId="5" applyFont="1" applyFill="1" applyBorder="1" applyAlignment="1" applyProtection="1">
      <alignment horizontal="center" vertical="center" wrapText="1"/>
    </xf>
    <xf numFmtId="177" fontId="44" fillId="19" borderId="3" xfId="4" applyNumberFormat="1" applyFont="1" applyFill="1" applyBorder="1" applyAlignment="1" applyProtection="1">
      <alignment horizontal="center" vertical="center" wrapText="1"/>
    </xf>
    <xf numFmtId="4" fontId="44" fillId="19" borderId="3" xfId="5" applyNumberFormat="1" applyFont="1" applyFill="1" applyBorder="1" applyAlignment="1" applyProtection="1">
      <alignment horizontal="right" vertical="center" wrapText="1" indent="1"/>
      <protection locked="0"/>
    </xf>
    <xf numFmtId="4" fontId="44" fillId="18" borderId="3" xfId="1" applyNumberFormat="1" applyFont="1" applyFill="1" applyBorder="1" applyAlignment="1" applyProtection="1">
      <alignment horizontal="right" vertical="center" wrapText="1" indent="1"/>
    </xf>
    <xf numFmtId="0" fontId="0" fillId="15" borderId="0" xfId="0" applyFill="1" applyBorder="1" applyAlignment="1">
      <alignment horizontal="center" vertical="center"/>
    </xf>
    <xf numFmtId="0" fontId="0" fillId="0" borderId="3" xfId="0" applyBorder="1" applyAlignment="1">
      <alignment horizontal="center" vertical="center"/>
    </xf>
    <xf numFmtId="0" fontId="0" fillId="19" borderId="3" xfId="0" applyFill="1" applyBorder="1" applyAlignment="1">
      <alignment horizontal="center" vertical="center"/>
    </xf>
    <xf numFmtId="0" fontId="24" fillId="5" borderId="5" xfId="5" applyFont="1" applyFill="1" applyBorder="1" applyAlignment="1" applyProtection="1">
      <alignment horizontal="center" vertical="center" wrapText="1"/>
    </xf>
    <xf numFmtId="0" fontId="4" fillId="5" borderId="5" xfId="5" applyFont="1" applyFill="1" applyBorder="1" applyAlignment="1" applyProtection="1">
      <alignment horizontal="center" vertical="center" wrapText="1"/>
    </xf>
    <xf numFmtId="0" fontId="5" fillId="5" borderId="5" xfId="5" applyFont="1" applyFill="1" applyBorder="1" applyAlignment="1" applyProtection="1">
      <alignment horizontal="center" vertical="center" wrapText="1"/>
    </xf>
    <xf numFmtId="0" fontId="8" fillId="2" borderId="52" xfId="5" applyFont="1" applyFill="1" applyBorder="1" applyAlignment="1" applyProtection="1"/>
    <xf numFmtId="0" fontId="8" fillId="2" borderId="51" xfId="5" applyFont="1" applyFill="1" applyBorder="1" applyAlignment="1" applyProtection="1"/>
    <xf numFmtId="0" fontId="50" fillId="19" borderId="5" xfId="5" applyFont="1" applyFill="1" applyBorder="1" applyAlignment="1" applyProtection="1">
      <alignment horizontal="center" vertical="center" wrapText="1"/>
    </xf>
    <xf numFmtId="0" fontId="46" fillId="19" borderId="5" xfId="5" applyFont="1" applyFill="1" applyBorder="1" applyAlignment="1" applyProtection="1">
      <alignment horizontal="center" vertical="center" wrapText="1"/>
    </xf>
    <xf numFmtId="0" fontId="44" fillId="15" borderId="0" xfId="5" applyFont="1" applyFill="1" applyBorder="1" applyAlignment="1" applyProtection="1">
      <alignment vertical="center" wrapText="1"/>
    </xf>
    <xf numFmtId="0" fontId="44" fillId="15" borderId="0" xfId="5" applyFont="1" applyFill="1" applyBorder="1" applyAlignment="1" applyProtection="1">
      <alignment horizontal="center" vertical="center" wrapText="1"/>
    </xf>
    <xf numFmtId="177" fontId="44" fillId="15" borderId="0" xfId="4" applyNumberFormat="1" applyFont="1" applyFill="1" applyBorder="1" applyAlignment="1" applyProtection="1">
      <alignment horizontal="center" vertical="center" wrapText="1"/>
    </xf>
    <xf numFmtId="4" fontId="44" fillId="15" borderId="0" xfId="5" applyNumberFormat="1" applyFont="1" applyFill="1" applyBorder="1" applyAlignment="1" applyProtection="1">
      <alignment horizontal="right" vertical="center" wrapText="1" indent="1"/>
      <protection locked="0"/>
    </xf>
    <xf numFmtId="4" fontId="46" fillId="15" borderId="0" xfId="5" applyNumberFormat="1" applyFont="1" applyFill="1" applyBorder="1" applyAlignment="1">
      <alignment horizontal="right" vertical="center" wrapText="1" indent="1"/>
    </xf>
    <xf numFmtId="4" fontId="46" fillId="15" borderId="0" xfId="1" applyNumberFormat="1" applyFont="1" applyFill="1" applyBorder="1" applyAlignment="1" applyProtection="1">
      <alignment horizontal="right" vertical="center"/>
    </xf>
    <xf numFmtId="0" fontId="53" fillId="2" borderId="53" xfId="5" applyFont="1" applyFill="1" applyBorder="1" applyAlignment="1" applyProtection="1"/>
    <xf numFmtId="177" fontId="44" fillId="15" borderId="37" xfId="4" applyNumberFormat="1" applyFont="1" applyFill="1" applyBorder="1" applyAlignment="1" applyProtection="1">
      <alignment horizontal="center" vertical="center" wrapText="1"/>
    </xf>
    <xf numFmtId="177" fontId="44" fillId="19" borderId="37" xfId="4" applyNumberFormat="1" applyFont="1" applyFill="1" applyBorder="1" applyAlignment="1" applyProtection="1">
      <alignment horizontal="center" vertical="center" wrapText="1"/>
    </xf>
    <xf numFmtId="0" fontId="56" fillId="0" borderId="3" xfId="0" applyFont="1" applyBorder="1" applyAlignment="1">
      <alignment horizontal="justify" vertical="center" wrapText="1"/>
    </xf>
    <xf numFmtId="0" fontId="56" fillId="0" borderId="3" xfId="0" applyFont="1" applyBorder="1" applyAlignment="1">
      <alignment horizontal="center" vertical="center" wrapText="1"/>
    </xf>
    <xf numFmtId="0" fontId="56" fillId="19" borderId="3" xfId="0" applyFont="1" applyFill="1" applyBorder="1" applyAlignment="1">
      <alignment horizontal="center" vertical="center" wrapText="1"/>
    </xf>
    <xf numFmtId="0" fontId="56" fillId="19" borderId="3" xfId="0" applyFont="1" applyFill="1" applyBorder="1" applyAlignment="1">
      <alignment horizontal="justify" vertical="center" wrapText="1"/>
    </xf>
    <xf numFmtId="175" fontId="46" fillId="15" borderId="3" xfId="5" applyNumberFormat="1" applyFont="1" applyFill="1" applyBorder="1" applyAlignment="1">
      <alignment horizontal="right" vertical="center" wrapText="1" indent="1"/>
    </xf>
    <xf numFmtId="175" fontId="46" fillId="19" borderId="3" xfId="5" applyNumberFormat="1" applyFont="1" applyFill="1" applyBorder="1" applyAlignment="1">
      <alignment horizontal="right" vertical="center" wrapText="1" indent="1"/>
    </xf>
    <xf numFmtId="175" fontId="44" fillId="15" borderId="37" xfId="4" applyNumberFormat="1" applyFont="1" applyFill="1" applyBorder="1" applyAlignment="1" applyProtection="1">
      <alignment horizontal="right" vertical="center" wrapText="1" indent="1"/>
    </xf>
    <xf numFmtId="175" fontId="44" fillId="19" borderId="37" xfId="4" applyNumberFormat="1" applyFont="1" applyFill="1" applyBorder="1" applyAlignment="1" applyProtection="1">
      <alignment horizontal="right" vertical="center" wrapText="1" indent="1"/>
    </xf>
    <xf numFmtId="175" fontId="46" fillId="15" borderId="6" xfId="4" applyNumberFormat="1" applyFont="1" applyFill="1" applyBorder="1" applyAlignment="1" applyProtection="1">
      <alignment horizontal="right" vertical="center" wrapText="1" indent="1"/>
    </xf>
    <xf numFmtId="0" fontId="56" fillId="0" borderId="0" xfId="0" applyFont="1" applyBorder="1" applyAlignment="1">
      <alignment horizontal="center" vertical="center" wrapText="1"/>
    </xf>
    <xf numFmtId="0" fontId="56" fillId="0" borderId="0" xfId="0" applyFont="1" applyBorder="1" applyAlignment="1">
      <alignment horizontal="justify" vertical="center" wrapText="1"/>
    </xf>
    <xf numFmtId="175" fontId="46" fillId="15" borderId="0" xfId="5" applyNumberFormat="1" applyFont="1" applyFill="1" applyBorder="1" applyAlignment="1">
      <alignment horizontal="right" vertical="center" wrapText="1" indent="1"/>
    </xf>
    <xf numFmtId="0" fontId="0" fillId="15" borderId="0" xfId="0" applyFill="1" applyBorder="1" applyProtection="1"/>
    <xf numFmtId="4" fontId="46" fillId="13" borderId="3" xfId="5" applyNumberFormat="1" applyFont="1" applyFill="1" applyBorder="1" applyAlignment="1" applyProtection="1">
      <alignment horizontal="center" vertical="center" wrapText="1"/>
    </xf>
    <xf numFmtId="175" fontId="46" fillId="2" borderId="7" xfId="5" applyNumberFormat="1" applyFont="1" applyFill="1" applyBorder="1" applyAlignment="1" applyProtection="1">
      <alignment horizontal="center" vertical="center" wrapText="1"/>
    </xf>
    <xf numFmtId="176" fontId="44" fillId="15" borderId="3" xfId="5" applyNumberFormat="1" applyFont="1" applyFill="1" applyBorder="1" applyAlignment="1" applyProtection="1">
      <alignment horizontal="center" vertical="center" wrapText="1"/>
      <protection locked="0"/>
    </xf>
    <xf numFmtId="4" fontId="1" fillId="20" borderId="5" xfId="5" applyNumberFormat="1" applyFont="1" applyFill="1" applyBorder="1" applyAlignment="1" applyProtection="1">
      <alignment horizontal="right" vertical="center" wrapText="1" indent="1"/>
    </xf>
    <xf numFmtId="175" fontId="46" fillId="15" borderId="0" xfId="4" applyNumberFormat="1" applyFont="1" applyFill="1" applyBorder="1" applyAlignment="1" applyProtection="1">
      <alignment horizontal="right" vertical="center" wrapText="1" indent="1"/>
    </xf>
    <xf numFmtId="171" fontId="1" fillId="2" borderId="0" xfId="0" applyNumberFormat="1" applyFont="1" applyFill="1" applyBorder="1" applyAlignment="1" applyProtection="1">
      <alignment horizontal="right" vertical="center" indent="1"/>
    </xf>
    <xf numFmtId="178" fontId="1" fillId="2" borderId="5" xfId="0" applyNumberFormat="1" applyFont="1" applyFill="1" applyBorder="1" applyAlignment="1" applyProtection="1">
      <alignment horizontal="center" vertical="center"/>
    </xf>
    <xf numFmtId="178" fontId="1" fillId="2" borderId="3" xfId="0" applyNumberFormat="1" applyFont="1" applyFill="1" applyBorder="1" applyAlignment="1" applyProtection="1">
      <alignment horizontal="center" vertical="center"/>
    </xf>
    <xf numFmtId="175" fontId="1" fillId="0" borderId="7" xfId="5" applyNumberFormat="1" applyFont="1" applyBorder="1" applyAlignment="1" applyProtection="1">
      <alignment horizontal="right" vertical="center" indent="1"/>
    </xf>
    <xf numFmtId="175" fontId="1" fillId="0" borderId="5" xfId="5" applyNumberFormat="1" applyFont="1" applyBorder="1" applyAlignment="1" applyProtection="1">
      <alignment horizontal="center" vertical="center"/>
    </xf>
    <xf numFmtId="0" fontId="46" fillId="18" borderId="18" xfId="5" applyFont="1" applyFill="1" applyBorder="1" applyAlignment="1" applyProtection="1">
      <alignment horizontal="center" vertical="center"/>
    </xf>
    <xf numFmtId="0" fontId="46" fillId="15" borderId="12" xfId="5" applyFont="1" applyFill="1" applyBorder="1" applyAlignment="1" applyProtection="1">
      <alignment vertical="center"/>
    </xf>
    <xf numFmtId="175" fontId="46" fillId="2" borderId="56" xfId="5" applyNumberFormat="1" applyFont="1" applyFill="1" applyBorder="1" applyAlignment="1" applyProtection="1">
      <alignment horizontal="center" vertical="center" wrapText="1"/>
    </xf>
    <xf numFmtId="175" fontId="46" fillId="2" borderId="3" xfId="5" applyNumberFormat="1" applyFont="1" applyFill="1" applyBorder="1" applyAlignment="1" applyProtection="1">
      <alignment horizontal="center" vertical="center" wrapText="1"/>
    </xf>
    <xf numFmtId="0" fontId="55" fillId="0" borderId="0" xfId="0" applyFont="1" applyAlignment="1" applyProtection="1">
      <alignment vertical="top"/>
    </xf>
    <xf numFmtId="0" fontId="0" fillId="0" borderId="0" xfId="0" applyProtection="1"/>
    <xf numFmtId="0" fontId="5" fillId="2" borderId="0"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xf>
    <xf numFmtId="175" fontId="46" fillId="15" borderId="0" xfId="5" applyNumberFormat="1" applyFont="1" applyFill="1" applyBorder="1" applyAlignment="1" applyProtection="1">
      <alignment horizontal="right" vertical="center" indent="1"/>
    </xf>
    <xf numFmtId="0" fontId="0" fillId="0" borderId="0" xfId="0" applyProtection="1"/>
    <xf numFmtId="175" fontId="0" fillId="0" borderId="0" xfId="0" applyNumberFormat="1" applyProtection="1"/>
    <xf numFmtId="175" fontId="0" fillId="0" borderId="3" xfId="0" applyNumberFormat="1" applyBorder="1" applyProtection="1"/>
    <xf numFmtId="175" fontId="1" fillId="0" borderId="0" xfId="5" applyNumberFormat="1" applyFont="1" applyBorder="1" applyAlignment="1" applyProtection="1">
      <alignment horizontal="right" vertical="center" indent="1"/>
    </xf>
    <xf numFmtId="175" fontId="46" fillId="2" borderId="0" xfId="5" applyNumberFormat="1" applyFont="1" applyFill="1" applyBorder="1" applyAlignment="1" applyProtection="1">
      <alignment horizontal="center" vertical="center" wrapText="1"/>
    </xf>
    <xf numFmtId="179" fontId="1" fillId="21" borderId="3" xfId="5" applyNumberFormat="1" applyFont="1" applyFill="1" applyBorder="1" applyAlignment="1" applyProtection="1">
      <alignment horizontal="center" vertical="center"/>
    </xf>
    <xf numFmtId="171" fontId="46" fillId="2" borderId="0" xfId="0" applyNumberFormat="1" applyFont="1" applyFill="1" applyBorder="1" applyAlignment="1" applyProtection="1">
      <alignment horizontal="right" vertical="center" indent="1"/>
    </xf>
    <xf numFmtId="4" fontId="1" fillId="0" borderId="0" xfId="0" applyNumberFormat="1" applyFont="1" applyFill="1" applyBorder="1" applyAlignment="1" applyProtection="1">
      <alignment horizontal="center" vertical="center"/>
    </xf>
    <xf numFmtId="0" fontId="0" fillId="0" borderId="0" xfId="0" applyFill="1" applyProtection="1"/>
    <xf numFmtId="4" fontId="19" fillId="0" borderId="0" xfId="0" applyNumberFormat="1" applyFont="1" applyFill="1" applyBorder="1" applyAlignment="1" applyProtection="1">
      <alignment horizontal="right" vertical="center"/>
    </xf>
    <xf numFmtId="0" fontId="5" fillId="2" borderId="0" xfId="0" applyFont="1" applyFill="1" applyBorder="1" applyAlignment="1" applyProtection="1">
      <alignment horizontal="left" vertical="center"/>
    </xf>
    <xf numFmtId="175" fontId="0" fillId="18" borderId="3" xfId="0" applyNumberFormat="1" applyFill="1" applyBorder="1" applyProtection="1"/>
    <xf numFmtId="175" fontId="46" fillId="2" borderId="18" xfId="5" applyNumberFormat="1" applyFont="1" applyFill="1" applyBorder="1" applyAlignment="1" applyProtection="1">
      <alignment horizontal="center" vertical="center" wrapText="1"/>
    </xf>
    <xf numFmtId="175" fontId="46" fillId="2" borderId="37" xfId="5" applyNumberFormat="1" applyFont="1" applyFill="1" applyBorder="1" applyAlignment="1" applyProtection="1">
      <alignment horizontal="center" vertical="center" wrapText="1"/>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6" fillId="2" borderId="0" xfId="5" applyFont="1" applyFill="1" applyBorder="1" applyAlignment="1" applyProtection="1">
      <alignment horizontal="center" vertical="center"/>
    </xf>
    <xf numFmtId="0" fontId="5" fillId="12" borderId="42" xfId="5" applyFont="1" applyFill="1" applyBorder="1" applyAlignment="1" applyProtection="1">
      <alignment horizontal="center" wrapText="1"/>
    </xf>
    <xf numFmtId="0" fontId="5" fillId="12" borderId="31" xfId="5" applyFont="1" applyFill="1" applyBorder="1" applyAlignment="1" applyProtection="1">
      <alignment horizontal="center" wrapText="1"/>
    </xf>
    <xf numFmtId="0" fontId="5" fillId="12" borderId="43" xfId="5" applyFont="1" applyFill="1" applyBorder="1" applyAlignment="1" applyProtection="1">
      <alignment horizontal="center" wrapText="1"/>
    </xf>
    <xf numFmtId="0" fontId="5" fillId="4" borderId="3" xfId="5" applyFont="1" applyFill="1" applyBorder="1" applyAlignment="1" applyProtection="1">
      <alignment horizontal="center" vertical="center" wrapText="1"/>
    </xf>
    <xf numFmtId="0" fontId="1" fillId="4" borderId="3" xfId="5" applyFont="1" applyFill="1" applyBorder="1" applyAlignment="1" applyProtection="1">
      <alignment horizontal="center" vertical="center" wrapText="1"/>
    </xf>
    <xf numFmtId="0" fontId="1" fillId="4" borderId="15" xfId="5" applyFont="1" applyFill="1" applyBorder="1" applyAlignment="1" applyProtection="1">
      <alignment horizontal="center" vertical="center" wrapText="1"/>
    </xf>
    <xf numFmtId="0" fontId="1" fillId="14" borderId="4" xfId="5" applyFont="1" applyFill="1" applyBorder="1" applyAlignment="1" applyProtection="1">
      <alignment horizontal="center" vertical="center" wrapText="1"/>
    </xf>
    <xf numFmtId="0" fontId="1" fillId="14" borderId="5" xfId="5" applyFont="1" applyFill="1" applyBorder="1" applyAlignment="1" applyProtection="1">
      <alignment horizontal="center" vertical="center" wrapText="1"/>
    </xf>
    <xf numFmtId="0" fontId="1" fillId="11" borderId="4" xfId="5" applyFont="1" applyFill="1" applyBorder="1" applyAlignment="1" applyProtection="1">
      <alignment horizontal="center" vertical="center" wrapText="1"/>
    </xf>
    <xf numFmtId="0" fontId="1" fillId="11" borderId="5" xfId="5" applyFont="1" applyFill="1" applyBorder="1" applyAlignment="1" applyProtection="1">
      <alignment horizontal="center" vertical="center" wrapText="1"/>
    </xf>
    <xf numFmtId="0" fontId="5" fillId="12" borderId="44" xfId="5" applyFont="1" applyFill="1" applyBorder="1" applyAlignment="1" applyProtection="1">
      <alignment horizontal="center" wrapText="1"/>
    </xf>
    <xf numFmtId="0" fontId="5" fillId="12" borderId="45" xfId="5" applyFont="1" applyFill="1" applyBorder="1" applyAlignment="1" applyProtection="1">
      <alignment horizontal="center" wrapText="1"/>
    </xf>
    <xf numFmtId="0" fontId="5" fillId="12" borderId="46" xfId="5" applyFont="1" applyFill="1" applyBorder="1" applyAlignment="1" applyProtection="1">
      <alignment horizontal="center" wrapText="1"/>
    </xf>
    <xf numFmtId="0" fontId="5" fillId="2" borderId="0" xfId="0" applyFont="1" applyFill="1" applyBorder="1" applyAlignment="1" applyProtection="1">
      <alignment horizontal="left" vertical="center" wrapText="1"/>
    </xf>
    <xf numFmtId="0" fontId="8" fillId="0" borderId="17" xfId="0" applyFont="1" applyBorder="1" applyAlignment="1" applyProtection="1">
      <alignment horizontal="left"/>
    </xf>
    <xf numFmtId="0" fontId="1" fillId="2" borderId="0" xfId="0" applyFont="1" applyFill="1" applyBorder="1" applyAlignment="1" applyProtection="1">
      <alignment horizontal="left" wrapText="1"/>
    </xf>
    <xf numFmtId="0" fontId="5" fillId="2" borderId="0" xfId="0" applyFont="1" applyFill="1" applyBorder="1" applyAlignment="1" applyProtection="1">
      <alignment horizontal="left" vertical="center"/>
    </xf>
    <xf numFmtId="0" fontId="44" fillId="2" borderId="0" xfId="0" applyFont="1" applyFill="1" applyBorder="1" applyAlignment="1" applyProtection="1">
      <alignment horizontal="left" vertical="center"/>
    </xf>
    <xf numFmtId="175" fontId="1" fillId="2" borderId="18" xfId="5" applyNumberFormat="1" applyFont="1" applyFill="1" applyBorder="1" applyAlignment="1" applyProtection="1">
      <alignment horizontal="center" vertical="center" wrapText="1"/>
    </xf>
    <xf numFmtId="175" fontId="1" fillId="2" borderId="37" xfId="5" applyNumberFormat="1" applyFont="1" applyFill="1" applyBorder="1" applyAlignment="1" applyProtection="1">
      <alignment horizontal="center" vertical="center" wrapText="1"/>
    </xf>
    <xf numFmtId="7" fontId="46" fillId="14" borderId="32" xfId="1" applyNumberFormat="1" applyFont="1" applyFill="1" applyBorder="1" applyAlignment="1" applyProtection="1">
      <alignment horizontal="center" vertical="center"/>
    </xf>
    <xf numFmtId="7" fontId="46" fillId="14" borderId="48" xfId="1" applyNumberFormat="1" applyFont="1" applyFill="1" applyBorder="1" applyAlignment="1" applyProtection="1">
      <alignment horizontal="center" vertical="center"/>
    </xf>
    <xf numFmtId="175" fontId="1" fillId="2" borderId="54" xfId="5" applyNumberFormat="1" applyFont="1" applyFill="1" applyBorder="1" applyAlignment="1" applyProtection="1">
      <alignment horizontal="center" vertical="center" wrapText="1"/>
    </xf>
    <xf numFmtId="175" fontId="1" fillId="2" borderId="55" xfId="5" applyNumberFormat="1" applyFont="1" applyFill="1" applyBorder="1" applyAlignment="1" applyProtection="1">
      <alignment horizontal="center" vertical="center" wrapText="1"/>
    </xf>
    <xf numFmtId="1" fontId="1" fillId="0" borderId="54" xfId="5" applyNumberFormat="1" applyFont="1" applyBorder="1" applyAlignment="1" applyProtection="1">
      <alignment horizontal="center" vertical="center"/>
    </xf>
    <xf numFmtId="1" fontId="1" fillId="0" borderId="55" xfId="5" applyNumberFormat="1" applyFont="1" applyBorder="1" applyAlignment="1" applyProtection="1">
      <alignment horizontal="center" vertical="center"/>
    </xf>
    <xf numFmtId="0" fontId="1" fillId="14" borderId="3" xfId="5" applyFont="1" applyFill="1" applyBorder="1" applyAlignment="1" applyProtection="1">
      <alignment horizontal="center" vertical="center" wrapText="1"/>
    </xf>
    <xf numFmtId="0" fontId="44" fillId="17" borderId="4" xfId="5" applyFont="1" applyFill="1" applyBorder="1" applyAlignment="1" applyProtection="1">
      <alignment horizontal="center" vertical="center" wrapText="1"/>
    </xf>
    <xf numFmtId="0" fontId="44" fillId="17" borderId="5" xfId="5" applyFont="1" applyFill="1" applyBorder="1" applyAlignment="1" applyProtection="1">
      <alignment horizontal="center" vertical="center" wrapText="1"/>
    </xf>
    <xf numFmtId="1" fontId="1" fillId="0" borderId="18" xfId="5" applyNumberFormat="1" applyFont="1" applyBorder="1" applyAlignment="1" applyProtection="1">
      <alignment horizontal="center" vertical="center"/>
    </xf>
    <xf numFmtId="1" fontId="1" fillId="0" borderId="37" xfId="5" applyNumberFormat="1" applyFont="1" applyBorder="1" applyAlignment="1" applyProtection="1">
      <alignment horizontal="center" vertical="center"/>
    </xf>
    <xf numFmtId="4" fontId="1" fillId="16" borderId="5" xfId="0" applyNumberFormat="1" applyFont="1" applyFill="1" applyBorder="1" applyAlignment="1" applyProtection="1">
      <alignment horizontal="right" vertical="center" indent="1"/>
    </xf>
    <xf numFmtId="4" fontId="1" fillId="16" borderId="9" xfId="5" applyNumberFormat="1" applyFont="1" applyFill="1" applyBorder="1" applyAlignment="1" applyProtection="1">
      <alignment horizontal="right" vertical="center" wrapText="1" indent="1"/>
    </xf>
    <xf numFmtId="175" fontId="46" fillId="15" borderId="0" xfId="5" applyNumberFormat="1" applyFont="1" applyFill="1" applyBorder="1" applyAlignment="1" applyProtection="1">
      <alignment horizontal="right" vertical="center" indent="1"/>
    </xf>
    <xf numFmtId="0" fontId="51" fillId="17" borderId="4" xfId="5" applyFont="1" applyFill="1" applyBorder="1" applyAlignment="1" applyProtection="1">
      <alignment horizontal="center" vertical="center" wrapText="1"/>
    </xf>
    <xf numFmtId="0" fontId="51" fillId="17" borderId="5" xfId="5" applyFont="1" applyFill="1" applyBorder="1" applyAlignment="1" applyProtection="1">
      <alignment horizontal="center" vertical="center" wrapText="1"/>
    </xf>
    <xf numFmtId="4" fontId="9" fillId="2" borderId="5" xfId="0" applyNumberFormat="1" applyFont="1" applyFill="1" applyBorder="1" applyAlignment="1" applyProtection="1">
      <alignment horizontal="right" vertical="center" indent="1"/>
    </xf>
    <xf numFmtId="4" fontId="1" fillId="2" borderId="7" xfId="5" applyNumberFormat="1" applyFont="1" applyFill="1" applyBorder="1" applyAlignment="1" applyProtection="1">
      <alignment horizontal="right" vertical="center" wrapText="1" indent="1"/>
    </xf>
    <xf numFmtId="0" fontId="1" fillId="4" borderId="4" xfId="5" applyFont="1" applyFill="1" applyBorder="1" applyAlignment="1" applyProtection="1">
      <alignment horizontal="center" vertical="center" wrapText="1"/>
    </xf>
    <xf numFmtId="0" fontId="1" fillId="4" borderId="5" xfId="5" applyFont="1" applyFill="1" applyBorder="1" applyAlignment="1" applyProtection="1">
      <alignment horizontal="center" vertical="center" wrapText="1"/>
    </xf>
    <xf numFmtId="4" fontId="46" fillId="13" borderId="18" xfId="5" applyNumberFormat="1" applyFont="1" applyFill="1" applyBorder="1" applyAlignment="1" applyProtection="1">
      <alignment horizontal="center" vertical="center" wrapText="1"/>
    </xf>
    <xf numFmtId="4" fontId="46" fillId="13" borderId="37" xfId="5" applyNumberFormat="1" applyFont="1" applyFill="1" applyBorder="1" applyAlignment="1" applyProtection="1">
      <alignment horizontal="center" vertical="center" wrapText="1"/>
    </xf>
    <xf numFmtId="0" fontId="1" fillId="11" borderId="3" xfId="5" applyFont="1" applyFill="1" applyBorder="1" applyAlignment="1" applyProtection="1">
      <alignment horizontal="center" vertical="center" wrapText="1"/>
    </xf>
    <xf numFmtId="4" fontId="1" fillId="11" borderId="3" xfId="0" applyNumberFormat="1" applyFont="1" applyFill="1" applyBorder="1" applyAlignment="1" applyProtection="1">
      <alignment horizontal="center" vertical="center"/>
    </xf>
    <xf numFmtId="0" fontId="0" fillId="0" borderId="18" xfId="0" applyBorder="1" applyAlignment="1" applyProtection="1">
      <alignment horizontal="center"/>
    </xf>
    <xf numFmtId="0" fontId="0" fillId="0" borderId="37" xfId="0" applyBorder="1" applyAlignment="1" applyProtection="1">
      <alignment horizontal="center"/>
    </xf>
    <xf numFmtId="4" fontId="46" fillId="16" borderId="0" xfId="5" applyNumberFormat="1" applyFont="1" applyFill="1" applyBorder="1" applyAlignment="1" applyProtection="1">
      <alignment horizontal="center" vertical="center"/>
    </xf>
    <xf numFmtId="0" fontId="5" fillId="4" borderId="3" xfId="5" applyFont="1" applyFill="1" applyBorder="1" applyAlignment="1" applyProtection="1">
      <alignment horizontal="center" wrapText="1"/>
    </xf>
    <xf numFmtId="0" fontId="20" fillId="2" borderId="0" xfId="5" applyFont="1" applyFill="1" applyBorder="1" applyAlignment="1" applyProtection="1">
      <alignment horizontal="center"/>
    </xf>
    <xf numFmtId="0" fontId="1" fillId="2" borderId="0" xfId="5" applyFont="1" applyFill="1" applyBorder="1" applyAlignment="1" applyProtection="1">
      <alignment horizontal="center"/>
    </xf>
    <xf numFmtId="0" fontId="5" fillId="2" borderId="0" xfId="5" applyFont="1" applyFill="1" applyBorder="1" applyAlignment="1" applyProtection="1">
      <alignment horizontal="center"/>
    </xf>
    <xf numFmtId="0" fontId="5" fillId="4" borderId="10" xfId="5" applyFont="1" applyFill="1" applyBorder="1" applyAlignment="1" applyProtection="1">
      <alignment horizontal="center" vertical="center"/>
    </xf>
    <xf numFmtId="0" fontId="5" fillId="4" borderId="11" xfId="5" applyFont="1" applyFill="1" applyBorder="1" applyAlignment="1" applyProtection="1">
      <alignment horizontal="center" vertical="center"/>
    </xf>
    <xf numFmtId="0" fontId="1" fillId="2" borderId="3" xfId="5" applyFont="1" applyFill="1" applyBorder="1" applyAlignment="1" applyProtection="1">
      <alignment horizontal="center" vertical="center" wrapText="1"/>
    </xf>
    <xf numFmtId="0" fontId="5" fillId="4" borderId="6" xfId="5" applyFont="1" applyFill="1" applyBorder="1" applyAlignment="1" applyProtection="1">
      <alignment horizontal="center" vertical="center"/>
    </xf>
    <xf numFmtId="0" fontId="22" fillId="2" borderId="1" xfId="7" applyFont="1" applyFill="1" applyBorder="1" applyAlignment="1" applyProtection="1">
      <alignment horizontal="left"/>
    </xf>
    <xf numFmtId="0" fontId="1" fillId="0" borderId="3" xfId="5" applyFont="1" applyBorder="1" applyAlignment="1" applyProtection="1">
      <alignment vertical="center"/>
    </xf>
    <xf numFmtId="0" fontId="24" fillId="2" borderId="19" xfId="5" applyFont="1" applyFill="1" applyBorder="1" applyAlignment="1" applyProtection="1">
      <alignment horizontal="right" vertical="center" wrapText="1"/>
    </xf>
    <xf numFmtId="0" fontId="5" fillId="0" borderId="3" xfId="5" applyFont="1" applyBorder="1" applyAlignment="1" applyProtection="1">
      <alignment vertical="center"/>
    </xf>
    <xf numFmtId="0" fontId="1" fillId="0" borderId="3" xfId="5" applyFont="1" applyBorder="1" applyProtection="1"/>
    <xf numFmtId="0" fontId="24" fillId="2" borderId="22" xfId="5" applyFont="1" applyFill="1" applyBorder="1" applyAlignment="1" applyProtection="1">
      <alignment horizontal="right" vertical="center" wrapText="1"/>
    </xf>
    <xf numFmtId="0" fontId="1" fillId="0" borderId="4" xfId="5" applyFont="1" applyBorder="1" applyProtection="1"/>
    <xf numFmtId="0" fontId="5" fillId="2" borderId="3" xfId="5" applyFont="1" applyFill="1" applyBorder="1" applyAlignment="1" applyProtection="1"/>
    <xf numFmtId="0" fontId="1" fillId="0" borderId="4" xfId="5" applyFont="1" applyBorder="1" applyAlignment="1" applyProtection="1">
      <alignment horizontal="justify" vertical="center" wrapText="1"/>
    </xf>
    <xf numFmtId="0" fontId="5" fillId="4" borderId="6" xfId="5" applyFont="1" applyFill="1" applyBorder="1" applyAlignment="1" applyProtection="1">
      <alignment horizontal="center" vertical="center" wrapText="1"/>
    </xf>
    <xf numFmtId="0" fontId="27" fillId="2" borderId="2" xfId="8" applyFont="1" applyFill="1" applyBorder="1" applyAlignment="1" applyProtection="1">
      <alignment horizontal="left" vertical="center" wrapText="1"/>
    </xf>
    <xf numFmtId="0" fontId="5" fillId="6" borderId="3" xfId="5" applyFont="1" applyFill="1" applyBorder="1" applyAlignment="1" applyProtection="1">
      <alignment horizontal="center" vertical="center"/>
    </xf>
    <xf numFmtId="0" fontId="7" fillId="4" borderId="11" xfId="0" applyFont="1" applyFill="1" applyBorder="1" applyAlignment="1" applyProtection="1">
      <alignment horizontal="center"/>
    </xf>
    <xf numFmtId="0" fontId="32" fillId="2" borderId="31" xfId="0" applyFont="1" applyFill="1" applyBorder="1" applyAlignment="1" applyProtection="1">
      <alignment horizontal="left" vertical="top" wrapText="1"/>
    </xf>
    <xf numFmtId="0" fontId="34" fillId="2" borderId="34" xfId="0" applyFont="1" applyFill="1" applyBorder="1" applyAlignment="1" applyProtection="1">
      <alignment horizontal="left" wrapText="1"/>
    </xf>
    <xf numFmtId="0" fontId="30" fillId="2" borderId="0" xfId="0" applyFont="1" applyFill="1" applyBorder="1" applyAlignment="1" applyProtection="1">
      <alignment horizontal="center"/>
    </xf>
    <xf numFmtId="0" fontId="3" fillId="2" borderId="0" xfId="0" applyFont="1" applyFill="1" applyBorder="1" applyAlignment="1" applyProtection="1">
      <alignment horizontal="center" vertical="center" wrapText="1"/>
    </xf>
    <xf numFmtId="0" fontId="4"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7" fillId="4" borderId="10" xfId="0" applyFont="1" applyFill="1" applyBorder="1" applyAlignment="1" applyProtection="1">
      <alignment horizontal="center"/>
    </xf>
    <xf numFmtId="0" fontId="37" fillId="2" borderId="51" xfId="5" applyFont="1" applyFill="1" applyBorder="1" applyAlignment="1" applyProtection="1">
      <alignment horizontal="center"/>
    </xf>
    <xf numFmtId="0" fontId="46" fillId="18" borderId="3" xfId="5" applyFont="1" applyFill="1" applyBorder="1" applyAlignment="1" applyProtection="1">
      <alignment horizontal="center" vertical="center"/>
    </xf>
    <xf numFmtId="0" fontId="37" fillId="2" borderId="51" xfId="5" applyFont="1" applyFill="1" applyBorder="1" applyAlignment="1" applyProtection="1"/>
    <xf numFmtId="0" fontId="52" fillId="2" borderId="53" xfId="5" applyFont="1" applyFill="1" applyBorder="1" applyAlignment="1" applyProtection="1"/>
    <xf numFmtId="0" fontId="52" fillId="2" borderId="53" xfId="5" applyFont="1" applyFill="1" applyBorder="1" applyAlignment="1" applyProtection="1">
      <alignment horizontal="center"/>
    </xf>
    <xf numFmtId="0" fontId="37" fillId="2" borderId="52" xfId="5" applyFont="1" applyFill="1" applyBorder="1" applyAlignment="1" applyProtection="1">
      <alignment horizontal="center"/>
    </xf>
    <xf numFmtId="0" fontId="35" fillId="2" borderId="0" xfId="5" applyFont="1" applyFill="1" applyBorder="1" applyAlignment="1" applyProtection="1">
      <alignment horizontal="center" vertical="center" wrapText="1"/>
    </xf>
    <xf numFmtId="0" fontId="3" fillId="2" borderId="0" xfId="5" applyFont="1" applyFill="1" applyBorder="1" applyAlignment="1" applyProtection="1">
      <alignment horizontal="center" vertical="center" wrapText="1"/>
    </xf>
    <xf numFmtId="0" fontId="5" fillId="2" borderId="0" xfId="5" applyFont="1" applyFill="1" applyBorder="1" applyAlignment="1" applyProtection="1">
      <alignment horizontal="center" vertical="center" wrapText="1"/>
    </xf>
    <xf numFmtId="0" fontId="0" fillId="0" borderId="0" xfId="0" applyAlignment="1" applyProtection="1">
      <alignment horizontal="center"/>
    </xf>
    <xf numFmtId="0" fontId="5" fillId="4" borderId="42" xfId="0" applyFont="1" applyFill="1" applyBorder="1" applyAlignment="1" applyProtection="1">
      <alignment horizontal="center" vertical="center"/>
    </xf>
    <xf numFmtId="0" fontId="5" fillId="4" borderId="31" xfId="0" applyFont="1" applyFill="1" applyBorder="1" applyAlignment="1" applyProtection="1">
      <alignment horizontal="center" vertical="center"/>
    </xf>
    <xf numFmtId="0" fontId="5" fillId="4" borderId="43" xfId="0" applyFont="1" applyFill="1" applyBorder="1" applyAlignment="1" applyProtection="1">
      <alignment horizontal="center" vertical="center"/>
    </xf>
    <xf numFmtId="0" fontId="5" fillId="4" borderId="44" xfId="0" applyFont="1" applyFill="1" applyBorder="1" applyAlignment="1" applyProtection="1">
      <alignment horizontal="center" vertical="center"/>
    </xf>
    <xf numFmtId="0" fontId="5" fillId="4" borderId="45" xfId="0" applyFont="1" applyFill="1" applyBorder="1" applyAlignment="1" applyProtection="1">
      <alignment horizontal="center" vertical="center"/>
    </xf>
    <xf numFmtId="0" fontId="5" fillId="4" borderId="46" xfId="0" applyFont="1" applyFill="1" applyBorder="1" applyAlignment="1" applyProtection="1">
      <alignment horizontal="center" vertical="center"/>
    </xf>
    <xf numFmtId="0" fontId="36" fillId="4" borderId="32" xfId="5" applyFont="1" applyFill="1" applyBorder="1" applyAlignment="1" applyProtection="1">
      <alignment horizontal="center" vertical="center" wrapText="1"/>
    </xf>
    <xf numFmtId="0" fontId="36" fillId="4" borderId="50" xfId="5" applyFont="1" applyFill="1" applyBorder="1" applyAlignment="1" applyProtection="1">
      <alignment horizontal="center" vertical="center" wrapText="1"/>
    </xf>
    <xf numFmtId="0" fontId="36" fillId="4" borderId="48" xfId="5" applyFont="1" applyFill="1" applyBorder="1" applyAlignment="1" applyProtection="1">
      <alignment horizontal="center" vertical="center" wrapText="1"/>
    </xf>
    <xf numFmtId="0" fontId="37" fillId="2" borderId="52" xfId="5" applyFont="1" applyFill="1" applyBorder="1" applyAlignment="1" applyProtection="1"/>
    <xf numFmtId="0" fontId="0" fillId="0" borderId="0" xfId="0" applyProtection="1"/>
    <xf numFmtId="0" fontId="0" fillId="0" borderId="14" xfId="0" applyBorder="1" applyProtection="1"/>
    <xf numFmtId="0" fontId="1" fillId="2" borderId="3" xfId="5" applyFont="1" applyFill="1" applyBorder="1" applyAlignment="1" applyProtection="1">
      <alignment horizontal="left" vertical="center" wrapText="1"/>
    </xf>
    <xf numFmtId="0" fontId="20" fillId="2" borderId="0" xfId="0" applyFont="1" applyFill="1" applyBorder="1" applyAlignment="1" applyProtection="1">
      <alignment horizontal="center"/>
    </xf>
    <xf numFmtId="0" fontId="1"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xf>
    <xf numFmtId="0" fontId="5" fillId="4" borderId="42" xfId="5" applyFont="1" applyFill="1" applyBorder="1" applyAlignment="1" applyProtection="1">
      <alignment horizontal="center" vertical="center" wrapText="1"/>
    </xf>
    <xf numFmtId="0" fontId="5" fillId="4" borderId="31" xfId="5" applyFont="1" applyFill="1" applyBorder="1" applyAlignment="1" applyProtection="1">
      <alignment horizontal="center" vertical="center" wrapText="1"/>
    </xf>
    <xf numFmtId="0" fontId="5" fillId="4" borderId="43" xfId="5" applyFont="1" applyFill="1" applyBorder="1" applyAlignment="1" applyProtection="1">
      <alignment horizontal="center" vertical="center" wrapText="1"/>
    </xf>
    <xf numFmtId="0" fontId="5" fillId="4" borderId="44" xfId="5" applyFont="1" applyFill="1" applyBorder="1" applyAlignment="1" applyProtection="1">
      <alignment horizontal="center" vertical="center" wrapText="1"/>
    </xf>
    <xf numFmtId="0" fontId="5" fillId="4" borderId="45" xfId="5" applyFont="1" applyFill="1" applyBorder="1" applyAlignment="1" applyProtection="1">
      <alignment horizontal="center" vertical="center" wrapText="1"/>
    </xf>
    <xf numFmtId="0" fontId="5" fillId="4" borderId="46" xfId="5" applyFont="1" applyFill="1" applyBorder="1" applyAlignment="1" applyProtection="1">
      <alignment horizontal="center" vertical="center" wrapText="1"/>
    </xf>
    <xf numFmtId="0" fontId="1" fillId="0" borderId="0" xfId="0" applyFont="1" applyBorder="1" applyAlignment="1" applyProtection="1">
      <alignment horizontal="center"/>
    </xf>
    <xf numFmtId="0" fontId="37" fillId="2" borderId="17" xfId="5" applyFont="1" applyFill="1" applyBorder="1" applyAlignment="1" applyProtection="1">
      <alignment horizontal="center"/>
    </xf>
    <xf numFmtId="0" fontId="5" fillId="2" borderId="15"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4" borderId="38" xfId="0" applyFont="1" applyFill="1" applyBorder="1" applyAlignment="1" applyProtection="1">
      <alignment horizontal="center" vertical="center" wrapText="1"/>
    </xf>
    <xf numFmtId="0" fontId="5" fillId="4" borderId="38"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xf>
    <xf numFmtId="0" fontId="5" fillId="2" borderId="38" xfId="0" applyFont="1" applyFill="1" applyBorder="1" applyAlignment="1" applyProtection="1">
      <alignment horizontal="center" vertical="center" wrapText="1"/>
    </xf>
    <xf numFmtId="0" fontId="38" fillId="2" borderId="39" xfId="5"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xf>
    <xf numFmtId="0" fontId="39" fillId="2" borderId="40" xfId="5" applyFont="1" applyFill="1" applyBorder="1" applyAlignment="1" applyProtection="1">
      <alignment horizontal="center"/>
    </xf>
    <xf numFmtId="0" fontId="40" fillId="2" borderId="13" xfId="5" applyFont="1" applyFill="1" applyBorder="1" applyAlignment="1" applyProtection="1">
      <alignment horizontal="center"/>
    </xf>
    <xf numFmtId="0" fontId="5" fillId="0" borderId="0" xfId="0" applyFont="1" applyBorder="1" applyAlignment="1" applyProtection="1">
      <alignment horizontal="left" vertical="center" wrapText="1"/>
    </xf>
    <xf numFmtId="0" fontId="1" fillId="0" borderId="0" xfId="5" applyFont="1" applyBorder="1" applyAlignment="1" applyProtection="1">
      <alignment horizontal="center"/>
    </xf>
    <xf numFmtId="0" fontId="5" fillId="2" borderId="41" xfId="5" applyFont="1" applyFill="1" applyBorder="1" applyAlignment="1" applyProtection="1">
      <alignment horizontal="center" wrapText="1"/>
    </xf>
    <xf numFmtId="0" fontId="1" fillId="2" borderId="0" xfId="5" applyFont="1" applyFill="1" applyBorder="1" applyAlignment="1" applyProtection="1">
      <alignment horizontal="center" vertical="center"/>
    </xf>
    <xf numFmtId="0" fontId="5" fillId="4" borderId="10" xfId="5" applyFont="1" applyFill="1" applyBorder="1" applyAlignment="1" applyProtection="1">
      <alignment horizontal="center" vertical="center" wrapText="1"/>
    </xf>
    <xf numFmtId="0" fontId="5" fillId="4" borderId="11" xfId="5" applyFont="1" applyFill="1" applyBorder="1" applyAlignment="1" applyProtection="1">
      <alignment horizontal="center" vertical="center" wrapText="1"/>
    </xf>
  </cellXfs>
  <cellStyles count="10">
    <cellStyle name="Excel Built-in Heading 2" xfId="7"/>
    <cellStyle name="Excel Built-in Heading 3" xfId="8"/>
    <cellStyle name="Moeda" xfId="1" builtinId="4"/>
    <cellStyle name="Moeda 2" xfId="3"/>
    <cellStyle name="Moeda_Plan1" xfId="4"/>
    <cellStyle name="Normal" xfId="0" builtinId="0"/>
    <cellStyle name="Normal 2" xfId="5"/>
    <cellStyle name="Normal 3" xfId="9"/>
    <cellStyle name="Porcentagem" xfId="2" builtinId="5"/>
    <cellStyle name="Vírgula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1D08B8"/>
      <rgbColor rgb="FF4F6228"/>
      <rgbColor rgb="FF800080"/>
      <rgbColor rgb="FF008080"/>
      <rgbColor rgb="FFBFBFBF"/>
      <rgbColor rgb="FF808080"/>
      <rgbColor rgb="FF8EB4E3"/>
      <rgbColor rgb="FF993366"/>
      <rgbColor rgb="FFFFFFCC"/>
      <rgbColor rgb="FFDCE6F2"/>
      <rgbColor rgb="FF660066"/>
      <rgbColor rgb="FFFF8080"/>
      <rgbColor rgb="FF376092"/>
      <rgbColor rgb="FFC6D9F1"/>
      <rgbColor rgb="FF000080"/>
      <rgbColor rgb="FFFF00FF"/>
      <rgbColor rgb="FFFFFF00"/>
      <rgbColor rgb="FF00FFFF"/>
      <rgbColor rgb="FF800080"/>
      <rgbColor rgb="FF800000"/>
      <rgbColor rgb="FF008080"/>
      <rgbColor rgb="FF0000FF"/>
      <rgbColor rgb="FF00CCFF"/>
      <rgbColor rgb="FFEBF1DE"/>
      <rgbColor rgb="FFE2EFD9"/>
      <rgbColor rgb="FFF2F2F2"/>
      <rgbColor rgb="FFA7C0DE"/>
      <rgbColor rgb="FFD9D9D9"/>
      <rgbColor rgb="FF95B3D7"/>
      <rgbColor rgb="FFFCD5B5"/>
      <rgbColor rgb="FF558ED5"/>
      <rgbColor rgb="FFB9CDE5"/>
      <rgbColor rgb="FFC3D69B"/>
      <rgbColor rgb="FFD7E4BD"/>
      <rgbColor rgb="FFFF9900"/>
      <rgbColor rgb="FFE46C0A"/>
      <rgbColor rgb="FF595959"/>
      <rgbColor rgb="FF7F7F7F"/>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361950</xdr:colOff>
      <xdr:row>14</xdr:row>
      <xdr:rowOff>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2.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Z60"/>
  <sheetViews>
    <sheetView showGridLines="0" tabSelected="1" view="pageBreakPreview" topLeftCell="A4" zoomScale="70" zoomScaleNormal="100" zoomScaleSheetLayoutView="70" zoomScalePageLayoutView="80" workbookViewId="0">
      <selection activeCell="L15" sqref="L15"/>
    </sheetView>
  </sheetViews>
  <sheetFormatPr defaultRowHeight="12.75" x14ac:dyDescent="0.2"/>
  <cols>
    <col min="1" max="1" width="42.42578125" style="4" customWidth="1"/>
    <col min="2" max="7" width="16.7109375" style="4" customWidth="1"/>
    <col min="8" max="8" width="9.42578125" style="4" customWidth="1"/>
    <col min="9" max="9" width="8.7109375" style="4" customWidth="1"/>
    <col min="10" max="10" width="9.28515625" style="4" customWidth="1"/>
    <col min="11" max="11" width="8.7109375" style="4" customWidth="1"/>
    <col min="12" max="23" width="16.7109375" style="4" customWidth="1"/>
    <col min="24" max="24" width="9.140625" style="4" customWidth="1"/>
    <col min="25" max="25" width="11.5703125" style="4"/>
    <col min="26" max="26" width="17" style="4" customWidth="1"/>
    <col min="27" max="1027" width="9.140625" style="4" customWidth="1"/>
    <col min="1028" max="16384" width="9.140625" style="4"/>
  </cols>
  <sheetData>
    <row r="1" spans="1:26" s="6" customFormat="1" ht="20.25" customHeight="1" x14ac:dyDescent="0.3">
      <c r="A1" s="293" t="s">
        <v>10</v>
      </c>
      <c r="B1" s="293"/>
      <c r="C1" s="293"/>
      <c r="D1" s="293"/>
      <c r="E1" s="293"/>
      <c r="F1" s="293"/>
      <c r="G1" s="293"/>
      <c r="H1" s="293"/>
      <c r="I1" s="293"/>
      <c r="J1" s="293"/>
      <c r="K1" s="293"/>
      <c r="L1" s="293"/>
      <c r="M1" s="293"/>
      <c r="N1" s="293"/>
      <c r="O1" s="293"/>
      <c r="P1" s="293"/>
      <c r="Q1" s="293"/>
      <c r="R1" s="293"/>
      <c r="S1" s="293"/>
      <c r="T1" s="293"/>
      <c r="U1" s="293"/>
      <c r="V1" s="293"/>
      <c r="W1" s="293"/>
      <c r="X1" s="5"/>
      <c r="Y1" s="5"/>
      <c r="Z1" s="5"/>
    </row>
    <row r="2" spans="1:26" s="8" customFormat="1" ht="15" customHeight="1" x14ac:dyDescent="0.3">
      <c r="A2" s="294" t="s">
        <v>0</v>
      </c>
      <c r="B2" s="294"/>
      <c r="C2" s="294"/>
      <c r="D2" s="294"/>
      <c r="E2" s="294"/>
      <c r="F2" s="294"/>
      <c r="G2" s="294"/>
      <c r="H2" s="294"/>
      <c r="I2" s="294"/>
      <c r="J2" s="294"/>
      <c r="K2" s="294"/>
      <c r="L2" s="294"/>
      <c r="M2" s="294"/>
      <c r="N2" s="294"/>
      <c r="O2" s="294"/>
      <c r="P2" s="294"/>
      <c r="Q2" s="294"/>
      <c r="R2" s="294"/>
      <c r="S2" s="294"/>
      <c r="T2" s="294"/>
      <c r="U2" s="294"/>
      <c r="V2" s="294"/>
      <c r="W2" s="294"/>
      <c r="X2" s="7"/>
      <c r="Y2" s="7"/>
      <c r="Z2" s="7"/>
    </row>
    <row r="3" spans="1:26" s="6" customFormat="1" ht="15" customHeight="1" x14ac:dyDescent="0.25">
      <c r="A3" s="295" t="s">
        <v>223</v>
      </c>
      <c r="B3" s="295"/>
      <c r="C3" s="295"/>
      <c r="D3" s="295"/>
      <c r="E3" s="295"/>
      <c r="F3" s="295"/>
      <c r="G3" s="295"/>
      <c r="H3" s="295"/>
      <c r="I3" s="295"/>
      <c r="J3" s="295"/>
      <c r="K3" s="295"/>
      <c r="L3" s="295"/>
      <c r="M3" s="295"/>
      <c r="N3" s="295"/>
      <c r="O3" s="295"/>
      <c r="P3" s="295"/>
      <c r="Q3" s="295"/>
      <c r="R3" s="295"/>
      <c r="S3" s="295"/>
      <c r="T3" s="295"/>
      <c r="U3" s="295"/>
      <c r="V3" s="295"/>
      <c r="W3" s="295"/>
      <c r="X3" s="185"/>
      <c r="Y3" s="185"/>
      <c r="Z3" s="185"/>
    </row>
    <row r="4" spans="1:26" s="6" customFormat="1" ht="15" customHeight="1" x14ac:dyDescent="0.25">
      <c r="A4" s="146"/>
      <c r="B4" s="146"/>
      <c r="C4" s="146"/>
      <c r="D4" s="146"/>
      <c r="E4" s="146"/>
      <c r="F4" s="146"/>
      <c r="G4" s="146"/>
      <c r="H4" s="146"/>
      <c r="I4" s="146"/>
      <c r="J4" s="146"/>
      <c r="K4" s="146"/>
      <c r="L4" s="146"/>
      <c r="M4" s="146"/>
      <c r="N4" s="146"/>
      <c r="O4" s="146"/>
      <c r="P4" s="146"/>
      <c r="Q4" s="146"/>
      <c r="R4" s="146"/>
      <c r="S4" s="146"/>
      <c r="T4" s="146"/>
      <c r="U4" s="146"/>
      <c r="V4" s="146"/>
      <c r="W4" s="146"/>
      <c r="X4" s="185"/>
      <c r="Y4" s="185"/>
      <c r="Z4" s="185"/>
    </row>
    <row r="5" spans="1:26" s="6" customFormat="1" ht="15" customHeight="1" x14ac:dyDescent="0.25">
      <c r="A5" s="9"/>
      <c r="B5" s="9"/>
      <c r="C5" s="9"/>
      <c r="D5" s="9"/>
      <c r="E5" s="9"/>
      <c r="F5" s="9"/>
      <c r="G5" s="9"/>
      <c r="H5" s="9"/>
      <c r="I5" s="9"/>
      <c r="J5" s="9"/>
      <c r="K5" s="9"/>
      <c r="L5" s="9"/>
      <c r="M5" s="9"/>
      <c r="N5" s="9"/>
      <c r="O5" s="9"/>
      <c r="P5" s="9"/>
      <c r="Q5" s="9"/>
      <c r="R5" s="9"/>
      <c r="S5" s="9"/>
      <c r="T5" s="9"/>
      <c r="U5" s="9"/>
      <c r="V5" s="1" t="s">
        <v>1</v>
      </c>
      <c r="W5" s="10" t="s">
        <v>208</v>
      </c>
      <c r="X5" s="185"/>
      <c r="Y5" s="185"/>
      <c r="Z5" s="185"/>
    </row>
    <row r="6" spans="1:26" s="6" customFormat="1" ht="15" customHeight="1" x14ac:dyDescent="0.25">
      <c r="A6" s="9"/>
      <c r="B6" s="9"/>
      <c r="C6" s="9"/>
      <c r="D6" s="9"/>
      <c r="E6" s="9"/>
      <c r="F6" s="9"/>
      <c r="G6" s="9"/>
      <c r="H6" s="9"/>
      <c r="I6" s="9"/>
      <c r="J6" s="9"/>
      <c r="K6" s="9"/>
      <c r="L6" s="9"/>
      <c r="M6" s="9"/>
      <c r="N6" s="9"/>
      <c r="O6" s="9"/>
      <c r="P6" s="9"/>
      <c r="Q6" s="9"/>
      <c r="R6" s="9"/>
      <c r="S6" s="9"/>
      <c r="T6" s="9"/>
      <c r="U6" s="9"/>
      <c r="V6" s="1" t="s">
        <v>2</v>
      </c>
      <c r="W6" s="148" t="s">
        <v>195</v>
      </c>
      <c r="X6" s="185"/>
      <c r="Y6" s="185"/>
      <c r="Z6" s="185"/>
    </row>
    <row r="7" spans="1:26" s="6" customFormat="1" ht="15" customHeight="1" x14ac:dyDescent="0.25">
      <c r="A7" s="11"/>
      <c r="B7" s="11"/>
      <c r="C7" s="11"/>
      <c r="D7" s="11"/>
      <c r="E7" s="11"/>
      <c r="F7" s="11"/>
      <c r="G7" s="11"/>
      <c r="H7" s="12"/>
      <c r="I7" s="12"/>
      <c r="J7" s="12"/>
      <c r="K7" s="12"/>
      <c r="L7" s="12"/>
      <c r="M7" s="12"/>
      <c r="N7" s="12"/>
      <c r="O7" s="12"/>
      <c r="P7" s="12"/>
      <c r="Q7" s="12"/>
      <c r="R7" s="12"/>
      <c r="S7" s="12"/>
      <c r="T7" s="12"/>
      <c r="U7" s="12"/>
      <c r="V7" s="1" t="s">
        <v>3</v>
      </c>
      <c r="W7" s="149">
        <v>0</v>
      </c>
    </row>
    <row r="8" spans="1:26" s="6" customFormat="1" ht="15" customHeight="1" thickBot="1" x14ac:dyDescent="0.3">
      <c r="A8" s="11"/>
      <c r="B8" s="11"/>
      <c r="C8" s="11"/>
      <c r="D8" s="11"/>
      <c r="E8" s="11"/>
      <c r="F8" s="11"/>
      <c r="G8" s="11"/>
      <c r="H8" s="12"/>
      <c r="I8" s="12"/>
      <c r="J8" s="12"/>
      <c r="K8" s="12"/>
      <c r="L8" s="12"/>
      <c r="M8" s="12"/>
      <c r="N8" s="12"/>
      <c r="O8" s="12"/>
      <c r="P8" s="12"/>
      <c r="Q8" s="12"/>
      <c r="R8" s="12"/>
      <c r="S8" s="12"/>
      <c r="T8" s="12"/>
      <c r="U8" s="12"/>
      <c r="W8" s="12"/>
    </row>
    <row r="9" spans="1:26" s="6" customFormat="1" ht="15" customHeight="1" x14ac:dyDescent="0.25">
      <c r="A9" s="296" t="s">
        <v>4</v>
      </c>
      <c r="B9" s="297"/>
      <c r="C9" s="297"/>
      <c r="D9" s="297"/>
      <c r="E9" s="297"/>
      <c r="F9" s="297"/>
      <c r="G9" s="297"/>
      <c r="H9" s="297"/>
      <c r="I9" s="297"/>
      <c r="J9" s="297"/>
      <c r="K9" s="297"/>
      <c r="L9" s="297"/>
      <c r="M9" s="297"/>
      <c r="N9" s="297"/>
      <c r="O9" s="297"/>
      <c r="P9" s="297"/>
      <c r="Q9" s="297"/>
      <c r="R9" s="297"/>
      <c r="S9" s="297"/>
      <c r="T9" s="297"/>
      <c r="U9" s="297"/>
      <c r="V9" s="297"/>
      <c r="W9" s="298"/>
    </row>
    <row r="10" spans="1:26" s="6" customFormat="1" ht="15" customHeight="1" thickBot="1" x14ac:dyDescent="0.3">
      <c r="A10" s="306" t="s">
        <v>5</v>
      </c>
      <c r="B10" s="307"/>
      <c r="C10" s="307"/>
      <c r="D10" s="307"/>
      <c r="E10" s="307"/>
      <c r="F10" s="307"/>
      <c r="G10" s="307"/>
      <c r="H10" s="307"/>
      <c r="I10" s="307"/>
      <c r="J10" s="307"/>
      <c r="K10" s="307"/>
      <c r="L10" s="307"/>
      <c r="M10" s="307"/>
      <c r="N10" s="307"/>
      <c r="O10" s="307"/>
      <c r="P10" s="307"/>
      <c r="Q10" s="307"/>
      <c r="R10" s="307"/>
      <c r="S10" s="307"/>
      <c r="T10" s="307"/>
      <c r="U10" s="307"/>
      <c r="V10" s="307"/>
      <c r="W10" s="308"/>
    </row>
    <row r="11" spans="1:26" s="6" customFormat="1" ht="15" customHeight="1" x14ac:dyDescent="0.25">
      <c r="A11" s="26"/>
      <c r="B11" s="25"/>
      <c r="C11" s="25"/>
      <c r="D11" s="25"/>
      <c r="E11" s="25"/>
      <c r="F11" s="25"/>
      <c r="G11" s="26"/>
      <c r="H11" s="25"/>
      <c r="I11" s="25"/>
      <c r="J11" s="25"/>
      <c r="K11" s="25"/>
      <c r="L11" s="25"/>
      <c r="M11" s="25"/>
      <c r="N11" s="25"/>
      <c r="O11" s="25"/>
      <c r="P11" s="25"/>
      <c r="Q11" s="25"/>
      <c r="R11" s="25"/>
      <c r="S11" s="25"/>
      <c r="T11" s="26"/>
      <c r="U11" s="26"/>
      <c r="V11" s="26"/>
      <c r="W11" s="26"/>
    </row>
    <row r="12" spans="1:26" s="13" customFormat="1" ht="15" customHeight="1" x14ac:dyDescent="0.25">
      <c r="A12" s="299" t="s">
        <v>11</v>
      </c>
      <c r="B12" s="343" t="s">
        <v>12</v>
      </c>
      <c r="C12" s="343"/>
      <c r="D12" s="343"/>
      <c r="E12" s="343"/>
      <c r="F12" s="343"/>
      <c r="G12" s="299" t="s">
        <v>13</v>
      </c>
      <c r="H12" s="343" t="s">
        <v>14</v>
      </c>
      <c r="I12" s="343"/>
      <c r="J12" s="343"/>
      <c r="K12" s="343"/>
      <c r="L12" s="343"/>
      <c r="M12" s="343"/>
      <c r="N12" s="343"/>
      <c r="O12" s="343"/>
      <c r="P12" s="343"/>
      <c r="Q12" s="343"/>
      <c r="R12" s="343"/>
      <c r="S12" s="343"/>
      <c r="T12" s="299" t="s">
        <v>15</v>
      </c>
      <c r="U12" s="299" t="s">
        <v>16</v>
      </c>
      <c r="V12" s="299" t="s">
        <v>17</v>
      </c>
      <c r="W12" s="299" t="s">
        <v>18</v>
      </c>
    </row>
    <row r="13" spans="1:26" s="14" customFormat="1" ht="55.7" customHeight="1" x14ac:dyDescent="0.25">
      <c r="A13" s="299"/>
      <c r="B13" s="300" t="s">
        <v>19</v>
      </c>
      <c r="C13" s="334" t="s">
        <v>209</v>
      </c>
      <c r="D13" s="323" t="s">
        <v>213</v>
      </c>
      <c r="E13" s="323" t="s">
        <v>214</v>
      </c>
      <c r="F13" s="300" t="s">
        <v>20</v>
      </c>
      <c r="G13" s="299"/>
      <c r="H13" s="301" t="s">
        <v>21</v>
      </c>
      <c r="I13" s="301"/>
      <c r="J13" s="300" t="s">
        <v>22</v>
      </c>
      <c r="K13" s="300"/>
      <c r="L13" s="330" t="s">
        <v>310</v>
      </c>
      <c r="M13" s="323" t="s">
        <v>299</v>
      </c>
      <c r="N13" s="323" t="s">
        <v>300</v>
      </c>
      <c r="O13" s="323" t="s">
        <v>301</v>
      </c>
      <c r="P13" s="322" t="s">
        <v>205</v>
      </c>
      <c r="Q13" s="302" t="s">
        <v>221</v>
      </c>
      <c r="R13" s="304" t="s">
        <v>218</v>
      </c>
      <c r="S13" s="338" t="s">
        <v>222</v>
      </c>
      <c r="T13" s="299"/>
      <c r="U13" s="299"/>
      <c r="V13" s="299"/>
      <c r="W13" s="299"/>
    </row>
    <row r="14" spans="1:26" s="15" customFormat="1" ht="25.5" customHeight="1" x14ac:dyDescent="0.25">
      <c r="A14" s="299"/>
      <c r="B14" s="300"/>
      <c r="C14" s="335"/>
      <c r="D14" s="324"/>
      <c r="E14" s="324"/>
      <c r="F14" s="300"/>
      <c r="G14" s="299"/>
      <c r="H14" s="186" t="s">
        <v>23</v>
      </c>
      <c r="I14" s="186" t="s">
        <v>24</v>
      </c>
      <c r="J14" s="186" t="s">
        <v>25</v>
      </c>
      <c r="K14" s="186" t="s">
        <v>26</v>
      </c>
      <c r="L14" s="331"/>
      <c r="M14" s="324"/>
      <c r="N14" s="324"/>
      <c r="O14" s="324"/>
      <c r="P14" s="322"/>
      <c r="Q14" s="303"/>
      <c r="R14" s="305"/>
      <c r="S14" s="338"/>
      <c r="T14" s="299"/>
      <c r="U14" s="299"/>
      <c r="V14" s="299"/>
      <c r="W14" s="299"/>
    </row>
    <row r="15" spans="1:26" s="15" customFormat="1" ht="15" customHeight="1" x14ac:dyDescent="0.25">
      <c r="A15" s="299"/>
      <c r="B15" s="300"/>
      <c r="C15" s="16">
        <v>0.3</v>
      </c>
      <c r="D15" s="210">
        <v>0.2</v>
      </c>
      <c r="E15" s="210">
        <v>0.1</v>
      </c>
      <c r="F15" s="16">
        <f>'Encargos Sociais'!F68/100</f>
        <v>0.72780319999999987</v>
      </c>
      <c r="G15" s="299"/>
      <c r="H15" s="150">
        <v>24.88</v>
      </c>
      <c r="I15" s="151">
        <v>0.2</v>
      </c>
      <c r="J15" s="150">
        <v>5.5</v>
      </c>
      <c r="K15" s="152">
        <v>2</v>
      </c>
      <c r="L15" s="262">
        <v>0.5</v>
      </c>
      <c r="M15" s="194">
        <f>Insumos!F27</f>
        <v>203.31</v>
      </c>
      <c r="N15" s="194">
        <f>Insumos!F71</f>
        <v>557.48</v>
      </c>
      <c r="O15" s="194">
        <f>Insumos!F96</f>
        <v>133.41000000000003</v>
      </c>
      <c r="P15" s="194">
        <f>Insumos!F14</f>
        <v>10.45</v>
      </c>
      <c r="Q15" s="194">
        <f>Insumos!F17</f>
        <v>79.41</v>
      </c>
      <c r="R15" s="153">
        <v>141.57</v>
      </c>
      <c r="S15" s="153">
        <v>19</v>
      </c>
      <c r="T15" s="299"/>
      <c r="U15" s="299"/>
      <c r="V15" s="17">
        <f>CITL!$B$18</f>
        <v>0.30445795339412363</v>
      </c>
      <c r="W15" s="299"/>
    </row>
    <row r="16" spans="1:26" ht="25.5" customHeight="1" thickBot="1" x14ac:dyDescent="0.25">
      <c r="A16" s="18" t="s">
        <v>6</v>
      </c>
      <c r="B16" s="19"/>
      <c r="C16" s="19"/>
      <c r="D16" s="19"/>
      <c r="E16" s="19"/>
      <c r="F16" s="19"/>
      <c r="G16" s="19"/>
      <c r="H16" s="19"/>
      <c r="I16" s="19"/>
      <c r="J16" s="19"/>
      <c r="K16" s="19"/>
      <c r="L16" s="19"/>
      <c r="M16" s="19"/>
      <c r="N16" s="19"/>
      <c r="O16" s="19"/>
      <c r="P16" s="19"/>
      <c r="Q16" s="19"/>
      <c r="R16" s="19"/>
      <c r="S16" s="19"/>
      <c r="T16" s="19"/>
      <c r="U16" s="19"/>
      <c r="V16" s="19"/>
      <c r="W16" s="19"/>
    </row>
    <row r="17" spans="1:23" s="15" customFormat="1" ht="25.5" customHeight="1" thickTop="1" x14ac:dyDescent="0.25">
      <c r="A17" s="193" t="s">
        <v>210</v>
      </c>
      <c r="B17" s="154">
        <f>ROUND(((2460.55/36)*30),2)</f>
        <v>2050.46</v>
      </c>
      <c r="C17" s="198">
        <f>B17*$C$15</f>
        <v>615.13800000000003</v>
      </c>
      <c r="D17" s="211"/>
      <c r="E17" s="211"/>
      <c r="F17" s="21">
        <f>ROUND((IF(B17&lt;&gt;0,(B17+C17)*$F$15,0)),2)</f>
        <v>1940.03</v>
      </c>
      <c r="G17" s="21">
        <f>SUM(B17:F17)</f>
        <v>4605.6279999999997</v>
      </c>
      <c r="H17" s="332">
        <f>ROUND((IF((B17&gt;0),($H$15*21)-(($H$15*21)*$I$15),0)),2)</f>
        <v>417.98</v>
      </c>
      <c r="I17" s="332"/>
      <c r="J17" s="333">
        <f>IF($B$17&gt;0,MAX(0,($J$15*(21*$K$15))-(6%*$B$17),0),0)</f>
        <v>107.97240000000001</v>
      </c>
      <c r="K17" s="333"/>
      <c r="L17" s="211"/>
      <c r="M17" s="21">
        <f>IF(B17&lt;&gt;0,$M$15,0)</f>
        <v>203.31</v>
      </c>
      <c r="N17" s="21">
        <f>IF(B17&lt;&gt;0,$N$15,0)</f>
        <v>557.48</v>
      </c>
      <c r="O17" s="21">
        <f>IF(B17&lt;&gt;0,$O$15,0)</f>
        <v>133.41000000000003</v>
      </c>
      <c r="P17" s="21">
        <f>IF(B17&lt;&gt;0,$P$15,0)</f>
        <v>10.45</v>
      </c>
      <c r="Q17" s="21">
        <f>IF(B17&lt;&gt;0,$Q$15,0)</f>
        <v>79.41</v>
      </c>
      <c r="R17" s="21">
        <f>IF(B17&lt;&gt;0,$R$15,0)</f>
        <v>141.57</v>
      </c>
      <c r="S17" s="21">
        <f>$S$15</f>
        <v>19</v>
      </c>
      <c r="T17" s="21">
        <f>SUM(H17:S17)</f>
        <v>1670.5824000000002</v>
      </c>
      <c r="U17" s="21">
        <f>G17+T17</f>
        <v>6276.2103999999999</v>
      </c>
      <c r="V17" s="21">
        <f>ROUND((U17*$V$15),2)</f>
        <v>1910.84</v>
      </c>
      <c r="W17" s="22">
        <f>ROUND((U17+V17),2)</f>
        <v>8187.05</v>
      </c>
    </row>
    <row r="18" spans="1:23" ht="25.5" hidden="1" customHeight="1" thickBot="1" x14ac:dyDescent="0.25">
      <c r="A18" s="147" t="s">
        <v>211</v>
      </c>
      <c r="B18" s="147"/>
      <c r="C18" s="147"/>
      <c r="D18" s="147"/>
      <c r="E18" s="147"/>
      <c r="F18" s="147"/>
      <c r="G18" s="147"/>
      <c r="H18" s="147"/>
      <c r="I18" s="147"/>
      <c r="J18" s="147"/>
      <c r="K18" s="147"/>
      <c r="L18" s="147"/>
      <c r="M18" s="147"/>
      <c r="N18" s="147"/>
      <c r="O18" s="147"/>
      <c r="P18" s="147"/>
      <c r="Q18" s="147"/>
      <c r="R18" s="147"/>
      <c r="S18" s="147"/>
      <c r="T18" s="147"/>
      <c r="U18" s="147"/>
      <c r="V18" s="147"/>
      <c r="W18" s="147"/>
    </row>
    <row r="19" spans="1:23" ht="25.5" hidden="1" customHeight="1" thickTop="1" thickBot="1" x14ac:dyDescent="0.25">
      <c r="A19" s="20" t="s">
        <v>215</v>
      </c>
      <c r="B19" s="199">
        <v>0</v>
      </c>
      <c r="C19" s="197">
        <f>B19*$C$15</f>
        <v>0</v>
      </c>
      <c r="D19" s="197">
        <f>ROUND((IF(B19&lt;&gt;0,(B19+C19))*0.583333333333333*$D$15),2)</f>
        <v>0</v>
      </c>
      <c r="E19" s="197">
        <f>ROUND((IF(B19&lt;&gt;0,(B19+C19))*$E$15),2)</f>
        <v>0</v>
      </c>
      <c r="F19" s="21">
        <f>ROUND((IF(B19&lt;&gt;0,(B19+C19+D19+E19)*$F$15,0)),2)</f>
        <v>0</v>
      </c>
      <c r="G19" s="21">
        <f>SUM(B19:F19)</f>
        <v>0</v>
      </c>
      <c r="H19" s="327">
        <f>ROUND((IF((B19&gt;0),($H$15*15)-(($H$15*15)*$I$15),0)),2)</f>
        <v>0</v>
      </c>
      <c r="I19" s="327"/>
      <c r="J19" s="328">
        <f>IF($B$19&gt;0,MAX(0,($J$15*(15*$K$15))-(6%*$B$19),0),0)</f>
        <v>0</v>
      </c>
      <c r="K19" s="328"/>
      <c r="L19" s="212">
        <f>ROUND((IF(B19&lt;&gt;0,(((((B19+C19)/180)*1.5)*$L$15)*15),0)),2)</f>
        <v>0</v>
      </c>
      <c r="M19" s="263"/>
      <c r="N19" s="263"/>
      <c r="O19" s="263"/>
      <c r="P19" s="21">
        <f>IF(B19&lt;&gt;0,$P$15,0)</f>
        <v>0</v>
      </c>
      <c r="Q19" s="213">
        <f>IF(B19&lt;&gt;0,$Q$15,0)</f>
        <v>0</v>
      </c>
      <c r="R19" s="213">
        <f>IF(B19&lt;&gt;0,$R$15,0)</f>
        <v>0</v>
      </c>
      <c r="S19" s="213">
        <v>0</v>
      </c>
      <c r="T19" s="213">
        <f>SUM(H19:S19)</f>
        <v>0</v>
      </c>
      <c r="U19" s="212">
        <f>G19+T19</f>
        <v>0</v>
      </c>
      <c r="V19" s="214">
        <f>ROUND((U19*$V$15),2)</f>
        <v>0</v>
      </c>
      <c r="W19" s="215">
        <f>ROUND((U19+V19),2)</f>
        <v>0</v>
      </c>
    </row>
    <row r="20" spans="1:23" ht="25.5" hidden="1" customHeight="1" thickTop="1" x14ac:dyDescent="0.2">
      <c r="A20" s="20" t="s">
        <v>216</v>
      </c>
      <c r="B20" s="199">
        <v>0</v>
      </c>
      <c r="C20" s="197">
        <f>B20*$C$15</f>
        <v>0</v>
      </c>
      <c r="D20" s="197">
        <f>ROUND((IF(B20&lt;&gt;0,(B20+C20))*0.583333333333333*$D$15),2)</f>
        <v>0</v>
      </c>
      <c r="E20" s="197">
        <f>ROUND((IF(B20&lt;&gt;0,(B20+C20))*$E$15),2)</f>
        <v>0</v>
      </c>
      <c r="F20" s="21">
        <f>ROUND((IF(B20&lt;&gt;0,(B20+C20+D20+E20)*$F$15,0)),2)</f>
        <v>0</v>
      </c>
      <c r="G20" s="21">
        <f>SUM(B20:F20)</f>
        <v>0</v>
      </c>
      <c r="H20" s="327">
        <f>ROUND((IF((B20&gt;0),($H$15*15)-(($H$15*15)*$I$15),0)),2)</f>
        <v>0</v>
      </c>
      <c r="I20" s="327"/>
      <c r="J20" s="328">
        <f>IF($B$19&gt;0,MAX(0,($J$15*(15*$K$15))-(6%*$B$19),0),0)</f>
        <v>0</v>
      </c>
      <c r="K20" s="328"/>
      <c r="L20" s="212">
        <f>ROUND((IF(B20&lt;&gt;0,(((((B20+C20)/180)*1.5)*$L$15)*15),0)),2)</f>
        <v>0</v>
      </c>
      <c r="M20" s="263"/>
      <c r="N20" s="263"/>
      <c r="O20" s="263"/>
      <c r="P20" s="21">
        <f>IF(B20&lt;&gt;0,$P$15,0)</f>
        <v>0</v>
      </c>
      <c r="Q20" s="213">
        <f>IF(B20&lt;&gt;0,$Q$15,0)</f>
        <v>0</v>
      </c>
      <c r="R20" s="213">
        <f>IF(B20&lt;&gt;0,$R$15,0)</f>
        <v>0</v>
      </c>
      <c r="S20" s="213">
        <v>0</v>
      </c>
      <c r="T20" s="213">
        <f>SUM(H20:S20)</f>
        <v>0</v>
      </c>
      <c r="U20" s="212">
        <f>G20+T20</f>
        <v>0</v>
      </c>
      <c r="V20" s="214">
        <f>ROUND((U20*$V$15),2)</f>
        <v>0</v>
      </c>
      <c r="W20" s="215">
        <f>ROUND((U20+V20),2)</f>
        <v>0</v>
      </c>
    </row>
    <row r="21" spans="1:23" ht="30" hidden="1" customHeight="1" x14ac:dyDescent="0.2">
      <c r="A21" s="274" t="s">
        <v>309</v>
      </c>
    </row>
    <row r="22" spans="1:23" s="275" customFormat="1" ht="17.25" customHeight="1" x14ac:dyDescent="0.2">
      <c r="A22" s="274"/>
    </row>
    <row r="23" spans="1:23" s="279" customFormat="1" ht="30" customHeight="1" x14ac:dyDescent="0.2"/>
    <row r="24" spans="1:23" ht="15" customHeight="1" x14ac:dyDescent="0.2">
      <c r="R24" s="23" t="s">
        <v>27</v>
      </c>
      <c r="S24" s="339" t="s">
        <v>319</v>
      </c>
      <c r="T24" s="339"/>
      <c r="U24" s="339"/>
      <c r="V24" s="339"/>
      <c r="W24" s="339"/>
    </row>
    <row r="25" spans="1:23" ht="15" x14ac:dyDescent="0.2">
      <c r="R25" s="23" t="s">
        <v>28</v>
      </c>
      <c r="S25" s="339" t="s">
        <v>321</v>
      </c>
      <c r="T25" s="339"/>
      <c r="U25" s="339"/>
      <c r="V25" s="339"/>
      <c r="W25" s="339"/>
    </row>
    <row r="26" spans="1:23" s="279" customFormat="1" ht="26.25" thickBot="1" x14ac:dyDescent="0.25">
      <c r="A26" s="147" t="s">
        <v>211</v>
      </c>
      <c r="B26" s="159" t="s">
        <v>322</v>
      </c>
      <c r="C26" s="260" t="s">
        <v>316</v>
      </c>
      <c r="M26" s="23"/>
      <c r="N26" s="286"/>
      <c r="O26" s="286"/>
      <c r="P26" s="286"/>
      <c r="Q26" s="286"/>
      <c r="R26" s="286"/>
      <c r="S26" s="287"/>
      <c r="T26" s="287"/>
      <c r="U26" s="287"/>
      <c r="V26" s="287"/>
    </row>
    <row r="27" spans="1:23" s="279" customFormat="1" ht="15" customHeight="1" thickTop="1" x14ac:dyDescent="0.2">
      <c r="A27" s="20" t="s">
        <v>314</v>
      </c>
      <c r="B27" s="290">
        <v>14000</v>
      </c>
      <c r="C27" s="281">
        <v>14000</v>
      </c>
      <c r="D27" s="4"/>
      <c r="E27" s="4"/>
      <c r="N27" s="287"/>
      <c r="O27" s="287"/>
      <c r="P27" s="287"/>
      <c r="Q27" s="288"/>
      <c r="R27" s="286"/>
      <c r="S27" s="286"/>
      <c r="T27" s="286"/>
      <c r="U27" s="286"/>
      <c r="V27" s="286"/>
    </row>
    <row r="28" spans="1:23" s="279" customFormat="1" ht="15" customHeight="1" x14ac:dyDescent="0.2">
      <c r="A28" s="20" t="s">
        <v>315</v>
      </c>
      <c r="B28" s="290">
        <v>14000</v>
      </c>
      <c r="C28" s="281">
        <v>14000</v>
      </c>
      <c r="D28" s="4"/>
      <c r="E28" s="4"/>
      <c r="N28" s="287"/>
      <c r="O28" s="287"/>
      <c r="P28" s="287"/>
      <c r="Q28" s="288"/>
      <c r="R28" s="286"/>
      <c r="S28" s="286"/>
      <c r="T28" s="286"/>
      <c r="U28" s="286"/>
      <c r="V28" s="286"/>
    </row>
    <row r="29" spans="1:23" s="279" customFormat="1" ht="15" customHeight="1" x14ac:dyDescent="0.2">
      <c r="A29" s="203"/>
      <c r="B29" s="280"/>
      <c r="O29" s="287"/>
      <c r="P29" s="287"/>
      <c r="Q29" s="287"/>
      <c r="R29" s="288"/>
      <c r="S29" s="286"/>
      <c r="T29" s="286"/>
      <c r="U29" s="286"/>
      <c r="V29" s="286"/>
      <c r="W29" s="286"/>
    </row>
    <row r="30" spans="1:23" s="279" customFormat="1" ht="15" customHeight="1" x14ac:dyDescent="0.2">
      <c r="A30" s="203"/>
      <c r="B30" s="280"/>
      <c r="O30" s="287"/>
      <c r="P30" s="287"/>
      <c r="Q30" s="287"/>
      <c r="R30" s="288"/>
      <c r="S30" s="286"/>
      <c r="T30" s="286"/>
      <c r="U30" s="286"/>
      <c r="V30" s="286"/>
      <c r="W30" s="286"/>
    </row>
    <row r="31" spans="1:23" s="279" customFormat="1" ht="15" customHeight="1" x14ac:dyDescent="0.2">
      <c r="A31" s="203"/>
      <c r="B31" s="280"/>
      <c r="O31" s="287"/>
      <c r="P31" s="287"/>
      <c r="Q31" s="287"/>
      <c r="R31" s="288"/>
      <c r="S31" s="286"/>
      <c r="T31" s="286"/>
      <c r="U31" s="286"/>
      <c r="V31" s="286"/>
      <c r="W31" s="286"/>
    </row>
    <row r="32" spans="1:23" s="279" customFormat="1" ht="15" customHeight="1" x14ac:dyDescent="0.2">
      <c r="A32" s="203"/>
      <c r="B32" s="280"/>
      <c r="O32" s="287"/>
      <c r="P32" s="287"/>
      <c r="Q32" s="287"/>
      <c r="R32" s="288"/>
      <c r="S32" s="286"/>
      <c r="T32" s="286"/>
      <c r="U32" s="286"/>
      <c r="V32" s="286"/>
      <c r="W32" s="286"/>
    </row>
    <row r="33" spans="1:23" s="279" customFormat="1" ht="15" customHeight="1" x14ac:dyDescent="0.2">
      <c r="A33" s="203"/>
      <c r="B33" s="280"/>
      <c r="O33" s="287"/>
      <c r="P33" s="287"/>
      <c r="Q33" s="287"/>
      <c r="R33" s="288"/>
      <c r="S33" s="286"/>
      <c r="T33" s="286"/>
      <c r="U33" s="286"/>
      <c r="V33" s="286"/>
      <c r="W33" s="286"/>
    </row>
    <row r="34" spans="1:23" ht="30" customHeight="1" thickBot="1" x14ac:dyDescent="0.25">
      <c r="A34" s="310" t="s">
        <v>206</v>
      </c>
      <c r="B34" s="310"/>
      <c r="C34" s="310"/>
      <c r="D34" s="310"/>
      <c r="E34" s="310"/>
      <c r="F34" s="310"/>
      <c r="G34" s="310"/>
      <c r="H34" s="310"/>
      <c r="I34" s="310"/>
      <c r="J34" s="310"/>
      <c r="K34" s="310"/>
      <c r="L34" s="310"/>
      <c r="M34" s="310"/>
      <c r="N34" s="310"/>
      <c r="O34" s="310"/>
      <c r="P34" s="310"/>
      <c r="Q34" s="310"/>
      <c r="R34" s="310"/>
      <c r="S34" s="310"/>
      <c r="T34" s="310"/>
      <c r="U34" s="310"/>
      <c r="V34" s="310"/>
      <c r="W34" s="310"/>
    </row>
    <row r="35" spans="1:23" ht="25.5" customHeight="1" thickTop="1" x14ac:dyDescent="0.2">
      <c r="A35" s="156"/>
      <c r="B35" s="159" t="s">
        <v>212</v>
      </c>
      <c r="C35" s="160" t="s">
        <v>196</v>
      </c>
      <c r="D35" s="160" t="s">
        <v>197</v>
      </c>
      <c r="E35" s="208" t="s">
        <v>8</v>
      </c>
      <c r="F35" s="260" t="s">
        <v>298</v>
      </c>
      <c r="G35" s="342"/>
      <c r="H35" s="342"/>
      <c r="L35" s="216"/>
      <c r="M35" s="216"/>
      <c r="N35" s="216"/>
      <c r="O35" s="216"/>
      <c r="P35" s="156"/>
      <c r="Q35" s="156"/>
      <c r="R35" s="156"/>
      <c r="S35" s="156"/>
      <c r="T35" s="156"/>
      <c r="U35" s="156"/>
      <c r="V35" s="156"/>
      <c r="W35" s="156"/>
    </row>
    <row r="36" spans="1:23" ht="24.95" customHeight="1" thickBot="1" x14ac:dyDescent="0.25">
      <c r="A36" s="157" t="s">
        <v>318</v>
      </c>
      <c r="B36" s="158"/>
      <c r="C36" s="158"/>
      <c r="D36" s="158"/>
      <c r="E36" s="158"/>
      <c r="F36" s="158"/>
      <c r="G36" s="259"/>
      <c r="H36" s="259"/>
      <c r="Q36" s="192"/>
      <c r="S36" s="23"/>
      <c r="T36" s="155"/>
      <c r="U36" s="155"/>
      <c r="V36" s="155"/>
      <c r="W36" s="155"/>
    </row>
    <row r="37" spans="1:23" ht="24.95" customHeight="1" thickTop="1" x14ac:dyDescent="0.2">
      <c r="A37" s="20" t="str">
        <f>A17</f>
        <v>Bombeiro Civil (CBO 5171-10) - 30h</v>
      </c>
      <c r="B37" s="161">
        <f>W17</f>
        <v>8187.05</v>
      </c>
      <c r="C37" s="201">
        <v>1</v>
      </c>
      <c r="D37" s="268">
        <f>B37*C37</f>
        <v>8187.05</v>
      </c>
      <c r="E37" s="209">
        <v>30</v>
      </c>
      <c r="F37" s="261">
        <f>D37*E37</f>
        <v>245611.5</v>
      </c>
      <c r="G37" s="329"/>
      <c r="H37" s="329"/>
      <c r="L37" s="202"/>
      <c r="M37" s="202"/>
      <c r="N37" s="202"/>
      <c r="O37" s="202"/>
      <c r="Q37" s="192"/>
      <c r="S37" s="23"/>
      <c r="T37" s="155"/>
      <c r="U37" s="155"/>
      <c r="V37" s="155"/>
      <c r="W37" s="155"/>
    </row>
    <row r="38" spans="1:23" s="279" customFormat="1" ht="24.95" customHeight="1" x14ac:dyDescent="0.2">
      <c r="A38" s="203"/>
      <c r="B38" s="204"/>
      <c r="C38" s="205"/>
      <c r="D38" s="282"/>
      <c r="E38" s="207"/>
      <c r="F38" s="283"/>
      <c r="G38" s="278"/>
      <c r="H38" s="278"/>
      <c r="L38" s="202"/>
      <c r="M38" s="202"/>
      <c r="N38" s="202"/>
      <c r="O38" s="202"/>
      <c r="Q38" s="192"/>
      <c r="S38" s="23"/>
      <c r="T38" s="155"/>
      <c r="U38" s="155"/>
      <c r="V38" s="155"/>
      <c r="W38" s="155"/>
    </row>
    <row r="39" spans="1:23" s="279" customFormat="1" ht="33" customHeight="1" thickBot="1" x14ac:dyDescent="0.25">
      <c r="A39" s="147" t="s">
        <v>211</v>
      </c>
      <c r="B39" s="159" t="s">
        <v>316</v>
      </c>
      <c r="C39" s="336" t="s">
        <v>323</v>
      </c>
      <c r="D39" s="337"/>
      <c r="E39" s="260" t="s">
        <v>298</v>
      </c>
      <c r="F39" s="278"/>
      <c r="G39" s="278"/>
      <c r="K39" s="202"/>
      <c r="L39" s="202"/>
      <c r="M39" s="202"/>
      <c r="N39" s="202"/>
      <c r="P39" s="192"/>
      <c r="R39" s="23"/>
      <c r="S39" s="155"/>
      <c r="T39" s="155"/>
      <c r="U39" s="155"/>
      <c r="V39" s="155"/>
    </row>
    <row r="40" spans="1:23" s="279" customFormat="1" ht="24.95" customHeight="1" thickTop="1" x14ac:dyDescent="0.2">
      <c r="A40" s="20" t="s">
        <v>314</v>
      </c>
      <c r="B40" s="281">
        <f>B27</f>
        <v>14000</v>
      </c>
      <c r="C40" s="340">
        <v>2</v>
      </c>
      <c r="D40" s="341"/>
      <c r="E40" s="273">
        <f>C40*B40</f>
        <v>28000</v>
      </c>
      <c r="F40" s="278"/>
      <c r="G40" s="278"/>
      <c r="K40" s="202"/>
      <c r="L40" s="202"/>
      <c r="M40" s="202"/>
      <c r="N40" s="202"/>
      <c r="P40" s="192"/>
      <c r="R40" s="23"/>
      <c r="S40" s="155"/>
      <c r="T40" s="155"/>
      <c r="U40" s="155"/>
      <c r="V40" s="155"/>
    </row>
    <row r="41" spans="1:23" ht="24.95" customHeight="1" x14ac:dyDescent="0.2">
      <c r="A41" s="20" t="s">
        <v>315</v>
      </c>
      <c r="B41" s="281">
        <f>B28</f>
        <v>14000</v>
      </c>
      <c r="C41" s="340">
        <v>2</v>
      </c>
      <c r="D41" s="341"/>
      <c r="E41" s="273">
        <f>C41*B41</f>
        <v>28000</v>
      </c>
      <c r="F41" s="206"/>
      <c r="G41" s="207"/>
      <c r="H41" s="207"/>
      <c r="I41" s="202"/>
      <c r="J41" s="202"/>
      <c r="K41" s="202"/>
      <c r="L41" s="202"/>
      <c r="M41" s="202"/>
      <c r="N41" s="202"/>
      <c r="P41" s="192"/>
      <c r="R41" s="23"/>
      <c r="S41" s="155"/>
      <c r="T41" s="155"/>
      <c r="U41" s="155"/>
      <c r="V41" s="155"/>
    </row>
    <row r="42" spans="1:23" ht="38.25" hidden="1" customHeight="1" x14ac:dyDescent="0.2">
      <c r="A42" s="203"/>
      <c r="B42" s="159" t="s">
        <v>212</v>
      </c>
      <c r="C42" s="159" t="s">
        <v>303</v>
      </c>
      <c r="D42" s="159" t="s">
        <v>304</v>
      </c>
      <c r="E42" s="159" t="s">
        <v>305</v>
      </c>
      <c r="F42" s="260" t="s">
        <v>306</v>
      </c>
      <c r="G42" s="260" t="s">
        <v>302</v>
      </c>
      <c r="H42" s="336" t="s">
        <v>307</v>
      </c>
      <c r="I42" s="337"/>
      <c r="J42" s="336" t="s">
        <v>308</v>
      </c>
      <c r="K42" s="337"/>
      <c r="L42" s="260" t="s">
        <v>298</v>
      </c>
      <c r="M42" s="202"/>
      <c r="N42" s="202"/>
      <c r="O42" s="202"/>
      <c r="Q42" s="192"/>
      <c r="S42" s="23"/>
      <c r="T42" s="155"/>
      <c r="U42" s="155"/>
      <c r="V42" s="155"/>
      <c r="W42" s="155"/>
    </row>
    <row r="43" spans="1:23" ht="24.95" hidden="1" customHeight="1" thickBot="1" x14ac:dyDescent="0.25">
      <c r="A43" s="147" t="s">
        <v>211</v>
      </c>
      <c r="B43" s="147"/>
      <c r="C43" s="147"/>
      <c r="D43" s="147"/>
      <c r="E43" s="147"/>
      <c r="F43" s="147"/>
      <c r="G43" s="147"/>
      <c r="H43" s="147"/>
      <c r="I43" s="147"/>
      <c r="J43" s="147"/>
      <c r="K43" s="147"/>
      <c r="L43" s="147"/>
      <c r="S43" s="23"/>
      <c r="T43" s="155"/>
      <c r="U43" s="155"/>
      <c r="V43" s="155"/>
      <c r="W43" s="155"/>
    </row>
    <row r="44" spans="1:23" ht="24.95" hidden="1" customHeight="1" thickTop="1" thickBot="1" x14ac:dyDescent="0.25">
      <c r="A44" s="20" t="str">
        <f>A19</f>
        <v>Bombeiro Civil (CBO 5171-10) - 12X36h</v>
      </c>
      <c r="B44" s="141">
        <f>W19</f>
        <v>0</v>
      </c>
      <c r="C44" s="197">
        <f>ROUND((B44/180),2)</f>
        <v>0</v>
      </c>
      <c r="D44" s="266">
        <f>8+18</f>
        <v>26</v>
      </c>
      <c r="E44" s="197">
        <f>Insumos!F37</f>
        <v>902.36</v>
      </c>
      <c r="F44" s="269">
        <f>(C44*D44)+E44</f>
        <v>902.36</v>
      </c>
      <c r="G44" s="162">
        <v>4</v>
      </c>
      <c r="H44" s="318">
        <f>F44*G44</f>
        <v>3609.44</v>
      </c>
      <c r="I44" s="319"/>
      <c r="J44" s="320">
        <v>2</v>
      </c>
      <c r="K44" s="321"/>
      <c r="L44" s="272">
        <f>H44*J44</f>
        <v>7218.88</v>
      </c>
      <c r="M44" s="202"/>
      <c r="N44" s="202"/>
      <c r="O44" s="202"/>
      <c r="U44" s="155"/>
      <c r="V44" s="155"/>
      <c r="W44" s="155"/>
    </row>
    <row r="45" spans="1:23" ht="24.95" hidden="1" customHeight="1" thickBot="1" x14ac:dyDescent="0.25">
      <c r="A45" s="3" t="str">
        <f>A20</f>
        <v>Bombeiro Civil Líder (CBO 5171-10) - 12X36h</v>
      </c>
      <c r="B45" s="141">
        <f>W20</f>
        <v>0</v>
      </c>
      <c r="C45" s="197">
        <f>ROUND((B45/180),2)</f>
        <v>0</v>
      </c>
      <c r="D45" s="267">
        <f>8+18</f>
        <v>26</v>
      </c>
      <c r="E45" s="141">
        <f>Insumos!F37</f>
        <v>902.36</v>
      </c>
      <c r="F45" s="269">
        <f>(C45*D45)+E45</f>
        <v>902.36</v>
      </c>
      <c r="G45" s="163">
        <v>1</v>
      </c>
      <c r="H45" s="314">
        <f>F45*G45</f>
        <v>902.36</v>
      </c>
      <c r="I45" s="315"/>
      <c r="J45" s="325">
        <v>2</v>
      </c>
      <c r="K45" s="326"/>
      <c r="L45" s="273">
        <f>H45*J45</f>
        <v>1804.72</v>
      </c>
      <c r="M45" s="202"/>
      <c r="N45" s="164" t="s">
        <v>9</v>
      </c>
      <c r="O45" s="316">
        <f>F37+L44+L45</f>
        <v>254635.1</v>
      </c>
      <c r="P45" s="317"/>
      <c r="R45" s="164"/>
      <c r="S45" s="200"/>
      <c r="T45" s="200"/>
      <c r="U45" s="155"/>
      <c r="V45" s="155"/>
      <c r="W45" s="155"/>
    </row>
    <row r="46" spans="1:23" ht="24.95" hidden="1" customHeight="1" x14ac:dyDescent="0.2">
      <c r="A46" s="203"/>
      <c r="B46" s="265"/>
      <c r="C46" s="265"/>
      <c r="D46" s="265"/>
      <c r="E46" s="265"/>
      <c r="F46" s="205"/>
      <c r="G46" s="205"/>
      <c r="H46" s="291">
        <f>SUM(H44:I45)</f>
        <v>4511.8</v>
      </c>
      <c r="I46" s="292"/>
      <c r="J46" s="202"/>
      <c r="K46" s="202"/>
      <c r="L46" s="202"/>
      <c r="M46" s="202"/>
      <c r="N46" s="202"/>
      <c r="O46" s="202"/>
      <c r="R46" s="164"/>
      <c r="S46" s="200"/>
      <c r="T46" s="200"/>
      <c r="U46" s="155"/>
      <c r="V46" s="155"/>
      <c r="W46" s="155"/>
    </row>
    <row r="47" spans="1:23" s="279" customFormat="1" ht="24.95" customHeight="1" x14ac:dyDescent="0.2">
      <c r="A47" s="203"/>
      <c r="B47" s="265"/>
      <c r="C47" s="265"/>
      <c r="D47" s="265"/>
      <c r="E47" s="265"/>
      <c r="F47" s="205"/>
      <c r="G47" s="205"/>
      <c r="H47" s="283"/>
      <c r="I47" s="283"/>
      <c r="J47" s="202"/>
      <c r="K47" s="202"/>
      <c r="L47" s="202"/>
      <c r="M47" s="202"/>
      <c r="N47" s="202"/>
      <c r="O47" s="202"/>
      <c r="R47" s="164"/>
      <c r="S47" s="200"/>
      <c r="T47" s="200"/>
      <c r="U47" s="155"/>
      <c r="V47" s="155"/>
      <c r="W47" s="155"/>
    </row>
    <row r="48" spans="1:23" s="279" customFormat="1" ht="24.95" customHeight="1" x14ac:dyDescent="0.2">
      <c r="A48" s="203"/>
      <c r="B48" s="265"/>
      <c r="C48" s="265"/>
      <c r="E48" s="285" t="s">
        <v>317</v>
      </c>
      <c r="F48" s="284">
        <f>F37+E40+E41</f>
        <v>301611.5</v>
      </c>
      <c r="G48" s="205"/>
      <c r="H48" s="283"/>
      <c r="I48" s="283"/>
      <c r="J48" s="202"/>
      <c r="K48" s="202"/>
      <c r="L48" s="202"/>
      <c r="M48" s="202"/>
      <c r="N48" s="202"/>
      <c r="O48" s="202"/>
      <c r="R48" s="164"/>
      <c r="S48" s="200"/>
      <c r="T48" s="200"/>
      <c r="U48" s="155"/>
      <c r="V48" s="155"/>
      <c r="W48" s="155"/>
    </row>
    <row r="49" spans="1:23" ht="30" customHeight="1" thickBot="1" x14ac:dyDescent="0.25">
      <c r="A49" s="310" t="s">
        <v>207</v>
      </c>
      <c r="B49" s="310"/>
      <c r="C49" s="310"/>
      <c r="D49" s="310"/>
      <c r="E49" s="310"/>
      <c r="F49" s="310"/>
      <c r="G49" s="310"/>
      <c r="H49" s="310"/>
      <c r="I49" s="310"/>
      <c r="J49" s="310"/>
      <c r="K49" s="310"/>
      <c r="L49" s="310"/>
      <c r="M49" s="310"/>
      <c r="N49" s="310"/>
      <c r="O49" s="310"/>
      <c r="P49" s="310"/>
      <c r="Q49" s="310"/>
      <c r="R49" s="310"/>
      <c r="S49" s="310"/>
      <c r="T49" s="310"/>
      <c r="U49" s="310"/>
      <c r="V49" s="310"/>
      <c r="W49" s="310"/>
    </row>
    <row r="50" spans="1:23" ht="13.5" customHeight="1" thickTop="1" x14ac:dyDescent="0.2">
      <c r="A50" s="311"/>
      <c r="B50" s="311"/>
      <c r="C50" s="311"/>
      <c r="D50" s="311"/>
      <c r="E50" s="311"/>
      <c r="F50" s="311"/>
      <c r="G50" s="311"/>
      <c r="H50" s="311"/>
      <c r="I50" s="311"/>
      <c r="J50" s="311"/>
      <c r="K50" s="311"/>
      <c r="L50" s="311"/>
      <c r="M50" s="311"/>
      <c r="N50" s="311"/>
      <c r="O50" s="311"/>
      <c r="P50" s="311"/>
      <c r="Q50" s="311"/>
      <c r="R50" s="311"/>
      <c r="S50" s="311"/>
      <c r="T50" s="311"/>
      <c r="U50" s="311"/>
      <c r="V50" s="311"/>
      <c r="W50" s="311"/>
    </row>
    <row r="51" spans="1:23" ht="15" customHeight="1" x14ac:dyDescent="0.2">
      <c r="A51" s="309" t="s">
        <v>29</v>
      </c>
      <c r="B51" s="309"/>
      <c r="C51" s="309"/>
      <c r="D51" s="309"/>
      <c r="E51" s="309"/>
      <c r="F51" s="309"/>
      <c r="G51" s="309"/>
      <c r="H51" s="309"/>
      <c r="I51" s="309"/>
      <c r="J51" s="309"/>
      <c r="K51" s="309"/>
      <c r="L51" s="309"/>
      <c r="M51" s="309"/>
      <c r="N51" s="309"/>
      <c r="O51" s="309"/>
      <c r="P51" s="309"/>
      <c r="Q51" s="309"/>
      <c r="R51" s="309"/>
      <c r="S51" s="309"/>
      <c r="T51" s="309"/>
      <c r="U51" s="309"/>
      <c r="V51" s="309"/>
      <c r="W51" s="309"/>
    </row>
    <row r="52" spans="1:23" s="24" customFormat="1" ht="15" customHeight="1" x14ac:dyDescent="0.2">
      <c r="A52" s="312" t="s">
        <v>311</v>
      </c>
      <c r="B52" s="312"/>
      <c r="C52" s="312"/>
      <c r="D52" s="312"/>
      <c r="E52" s="312"/>
      <c r="F52" s="312"/>
      <c r="G52" s="312"/>
      <c r="H52" s="312"/>
      <c r="I52" s="312"/>
      <c r="J52" s="312"/>
      <c r="K52" s="312"/>
      <c r="L52" s="312"/>
      <c r="M52" s="312"/>
      <c r="N52" s="312"/>
      <c r="O52" s="312"/>
      <c r="P52" s="312"/>
      <c r="Q52" s="312"/>
      <c r="R52" s="312"/>
      <c r="S52" s="312"/>
      <c r="T52" s="312"/>
      <c r="U52" s="312"/>
      <c r="V52" s="312"/>
      <c r="W52" s="312"/>
    </row>
    <row r="53" spans="1:23" s="24" customFormat="1" ht="15" customHeight="1" x14ac:dyDescent="0.2">
      <c r="A53" s="309" t="s">
        <v>313</v>
      </c>
      <c r="B53" s="309"/>
      <c r="C53" s="309"/>
      <c r="D53" s="309"/>
      <c r="E53" s="309"/>
      <c r="F53" s="309"/>
      <c r="G53" s="309"/>
      <c r="H53" s="309"/>
      <c r="I53" s="309"/>
      <c r="J53" s="309"/>
      <c r="K53" s="309"/>
      <c r="L53" s="309"/>
      <c r="M53" s="309"/>
      <c r="N53" s="309"/>
      <c r="O53" s="309"/>
      <c r="P53" s="309"/>
      <c r="Q53" s="309"/>
      <c r="R53" s="309"/>
      <c r="S53" s="309"/>
      <c r="T53" s="309"/>
      <c r="U53" s="309"/>
      <c r="V53" s="309"/>
      <c r="W53" s="309"/>
    </row>
    <row r="54" spans="1:23" s="24" customFormat="1" ht="15" customHeight="1" x14ac:dyDescent="0.2">
      <c r="A54" s="313" t="s">
        <v>312</v>
      </c>
      <c r="B54" s="313"/>
      <c r="C54" s="313"/>
      <c r="D54" s="313"/>
      <c r="E54" s="313"/>
      <c r="F54" s="313"/>
      <c r="G54" s="313"/>
      <c r="H54" s="313"/>
      <c r="I54" s="313"/>
      <c r="J54" s="313"/>
      <c r="K54" s="313"/>
      <c r="L54" s="313"/>
      <c r="M54" s="313"/>
      <c r="N54" s="313"/>
      <c r="O54" s="313"/>
      <c r="P54" s="313"/>
      <c r="Q54" s="313"/>
      <c r="R54" s="313"/>
      <c r="S54" s="313"/>
      <c r="T54" s="313"/>
      <c r="U54" s="313"/>
      <c r="V54" s="313"/>
      <c r="W54" s="313"/>
    </row>
    <row r="55" spans="1:23" ht="15" customHeight="1" x14ac:dyDescent="0.2">
      <c r="A55" s="309" t="s">
        <v>30</v>
      </c>
      <c r="B55" s="309"/>
      <c r="C55" s="309"/>
      <c r="D55" s="309"/>
      <c r="E55" s="309"/>
      <c r="F55" s="309"/>
      <c r="G55" s="309"/>
      <c r="H55" s="309"/>
      <c r="I55" s="309"/>
      <c r="J55" s="309"/>
      <c r="K55" s="309"/>
      <c r="L55" s="309"/>
      <c r="M55" s="309"/>
      <c r="N55" s="309"/>
      <c r="O55" s="309"/>
      <c r="P55" s="309"/>
      <c r="Q55" s="309"/>
      <c r="R55" s="309"/>
      <c r="S55" s="309"/>
      <c r="T55" s="309"/>
      <c r="U55" s="309"/>
      <c r="V55" s="309"/>
      <c r="W55" s="309"/>
    </row>
    <row r="56" spans="1:23" ht="15" customHeight="1" x14ac:dyDescent="0.2">
      <c r="A56" s="309" t="s">
        <v>31</v>
      </c>
      <c r="B56" s="309"/>
      <c r="C56" s="309"/>
      <c r="D56" s="309"/>
      <c r="E56" s="309"/>
      <c r="F56" s="309"/>
      <c r="G56" s="309"/>
      <c r="H56" s="309"/>
      <c r="I56" s="309"/>
      <c r="J56" s="309"/>
      <c r="K56" s="309"/>
      <c r="L56" s="309"/>
      <c r="M56" s="309"/>
      <c r="N56" s="309"/>
      <c r="O56" s="309"/>
      <c r="P56" s="309"/>
      <c r="Q56" s="309"/>
      <c r="R56" s="309"/>
      <c r="S56" s="309"/>
      <c r="T56" s="309"/>
      <c r="U56" s="309"/>
      <c r="V56" s="309"/>
      <c r="W56" s="309"/>
    </row>
    <row r="57" spans="1:23" s="279" customFormat="1" ht="15" customHeight="1" x14ac:dyDescent="0.2">
      <c r="A57" s="277" t="s">
        <v>324</v>
      </c>
      <c r="B57" s="276"/>
      <c r="C57" s="276"/>
      <c r="D57" s="276"/>
      <c r="E57" s="276"/>
      <c r="F57" s="276"/>
      <c r="G57" s="276"/>
      <c r="H57" s="276"/>
      <c r="I57" s="276"/>
      <c r="J57" s="276"/>
      <c r="K57" s="276"/>
      <c r="L57" s="276"/>
      <c r="M57" s="276"/>
      <c r="N57" s="276"/>
      <c r="O57" s="276"/>
      <c r="P57" s="276"/>
      <c r="Q57" s="276"/>
      <c r="R57" s="276"/>
      <c r="S57" s="276"/>
      <c r="T57" s="276"/>
      <c r="U57" s="276"/>
      <c r="V57" s="276"/>
      <c r="W57" s="276"/>
    </row>
    <row r="58" spans="1:23" s="279" customFormat="1" ht="15" customHeight="1" x14ac:dyDescent="0.2">
      <c r="A58" s="289" t="s">
        <v>320</v>
      </c>
      <c r="B58" s="276"/>
      <c r="C58" s="276"/>
      <c r="D58" s="276"/>
      <c r="E58" s="276"/>
      <c r="F58" s="276"/>
      <c r="G58" s="276"/>
      <c r="H58" s="276"/>
      <c r="I58" s="276"/>
      <c r="J58" s="276"/>
      <c r="K58" s="276"/>
      <c r="L58" s="276"/>
      <c r="M58" s="276"/>
      <c r="N58" s="276"/>
      <c r="O58" s="276"/>
      <c r="P58" s="276"/>
      <c r="Q58" s="276"/>
      <c r="R58" s="276"/>
      <c r="S58" s="276"/>
      <c r="T58" s="276"/>
      <c r="U58" s="276"/>
      <c r="V58" s="276"/>
      <c r="W58" s="276"/>
    </row>
    <row r="60" spans="1:23" x14ac:dyDescent="0.2">
      <c r="A60" s="270" t="s">
        <v>137</v>
      </c>
      <c r="B60" s="271"/>
    </row>
  </sheetData>
  <sheetProtection algorithmName="SHA-512" hashValue="z1eYWmYGE/QL11m5b+RzXxrxosz/FmyB/poDJ17/HzlqKS/KQJ6jJek+0vNfes2m1hOdd3Zrakl0RK9i5HqSQA==" saltValue="aNF2wIVN7I4gsEFmu9VVvA==" spinCount="100000" sheet="1" objects="1" scenarios="1" selectLockedCells="1"/>
  <mergeCells count="58">
    <mergeCell ref="S13:S14"/>
    <mergeCell ref="S24:W24"/>
    <mergeCell ref="S25:W25"/>
    <mergeCell ref="C39:D39"/>
    <mergeCell ref="C40:D40"/>
    <mergeCell ref="A34:W34"/>
    <mergeCell ref="G35:H35"/>
    <mergeCell ref="A12:A15"/>
    <mergeCell ref="B12:F12"/>
    <mergeCell ref="H19:I19"/>
    <mergeCell ref="H12:S12"/>
    <mergeCell ref="D13:D14"/>
    <mergeCell ref="M13:M14"/>
    <mergeCell ref="E13:E14"/>
    <mergeCell ref="C13:C14"/>
    <mergeCell ref="H42:I42"/>
    <mergeCell ref="J42:K42"/>
    <mergeCell ref="C41:D41"/>
    <mergeCell ref="J45:K45"/>
    <mergeCell ref="H20:I20"/>
    <mergeCell ref="J20:K20"/>
    <mergeCell ref="G37:H37"/>
    <mergeCell ref="L13:L14"/>
    <mergeCell ref="J19:K19"/>
    <mergeCell ref="H17:I17"/>
    <mergeCell ref="J17:K17"/>
    <mergeCell ref="A10:W10"/>
    <mergeCell ref="A56:W56"/>
    <mergeCell ref="A49:W49"/>
    <mergeCell ref="A50:W50"/>
    <mergeCell ref="A51:W51"/>
    <mergeCell ref="A52:W52"/>
    <mergeCell ref="A53:W53"/>
    <mergeCell ref="A54:W54"/>
    <mergeCell ref="A55:W55"/>
    <mergeCell ref="H45:I45"/>
    <mergeCell ref="O45:P45"/>
    <mergeCell ref="H44:I44"/>
    <mergeCell ref="J44:K44"/>
    <mergeCell ref="P13:P14"/>
    <mergeCell ref="N13:N14"/>
    <mergeCell ref="O13:O14"/>
    <mergeCell ref="H46:I46"/>
    <mergeCell ref="A1:W1"/>
    <mergeCell ref="A2:W2"/>
    <mergeCell ref="A3:W3"/>
    <mergeCell ref="A9:W9"/>
    <mergeCell ref="T12:T15"/>
    <mergeCell ref="U12:U15"/>
    <mergeCell ref="V12:V14"/>
    <mergeCell ref="W12:W15"/>
    <mergeCell ref="B13:B15"/>
    <mergeCell ref="F13:F14"/>
    <mergeCell ref="H13:I13"/>
    <mergeCell ref="J13:K13"/>
    <mergeCell ref="G12:G15"/>
    <mergeCell ref="Q13:Q14"/>
    <mergeCell ref="R13:R14"/>
  </mergeCells>
  <printOptions horizontalCentered="1"/>
  <pageMargins left="0.11811023622047245" right="0.11811023622047245" top="0.42" bottom="0.27" header="0.12" footer="0.05"/>
  <pageSetup paperSize="9" scale="26" firstPageNumber="0" fitToHeight="0" orientation="portrait" verticalDpi="300" r:id="rId1"/>
  <headerFooter>
    <oddHeader>&amp;C&amp;G&amp;R&amp;8&amp;P</oddHeader>
    <oddFooter>&amp;L&amp;8&amp;G
   &amp;"Arial,Negrito"&amp;K08-024SCCAT/CFIC/SECOFC</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zoomScaleNormal="100" workbookViewId="0">
      <selection activeCell="N20" sqref="N20"/>
    </sheetView>
  </sheetViews>
  <sheetFormatPr defaultRowHeight="12.75" x14ac:dyDescent="0.2"/>
  <cols>
    <col min="1" max="6" width="9.7109375" style="60" customWidth="1"/>
    <col min="7" max="8" width="44.7109375" style="60" customWidth="1"/>
    <col min="9" max="1025" width="9.140625" style="60" customWidth="1"/>
  </cols>
  <sheetData>
    <row r="1" spans="1:8" ht="18" x14ac:dyDescent="0.25">
      <c r="A1" s="344" t="str">
        <f>Postos!A1:W1</f>
        <v>TRIBUNAL REGIONAL ELEITORAL DO PARANÁ</v>
      </c>
      <c r="B1" s="344"/>
      <c r="C1" s="344"/>
      <c r="D1" s="344"/>
      <c r="E1" s="344"/>
      <c r="F1" s="344"/>
      <c r="G1" s="344"/>
      <c r="H1" s="344"/>
    </row>
    <row r="2" spans="1:8" x14ac:dyDescent="0.2">
      <c r="A2" s="345" t="str">
        <f>Postos!A2:W2</f>
        <v>Planilha de Custos e Formação de Preços - Estimativa TRE-PR</v>
      </c>
      <c r="B2" s="345"/>
      <c r="C2" s="345"/>
      <c r="D2" s="345"/>
      <c r="E2" s="345"/>
      <c r="F2" s="345"/>
      <c r="G2" s="345"/>
      <c r="H2" s="345"/>
    </row>
    <row r="3" spans="1:8" x14ac:dyDescent="0.2">
      <c r="A3" s="346" t="str">
        <f>Postos!A3:W3</f>
        <v>Serviços de Bombeiro Civil</v>
      </c>
      <c r="B3" s="346"/>
      <c r="C3" s="346"/>
      <c r="D3" s="346"/>
      <c r="E3" s="346"/>
      <c r="F3" s="346"/>
      <c r="G3" s="346"/>
      <c r="H3" s="346"/>
    </row>
    <row r="4" spans="1:8" x14ac:dyDescent="0.2">
      <c r="A4" s="30"/>
      <c r="B4" s="30"/>
      <c r="C4" s="30"/>
      <c r="D4" s="30"/>
      <c r="E4" s="30"/>
      <c r="F4" s="31"/>
      <c r="G4" s="32"/>
      <c r="H4" s="32"/>
    </row>
    <row r="5" spans="1:8" x14ac:dyDescent="0.2">
      <c r="A5" s="347" t="str">
        <f>Postos!A9:W9</f>
        <v>Empresa</v>
      </c>
      <c r="B5" s="347"/>
      <c r="C5" s="347"/>
      <c r="D5" s="347"/>
      <c r="E5" s="347"/>
      <c r="F5" s="347"/>
      <c r="G5" s="347"/>
      <c r="H5" s="347"/>
    </row>
    <row r="6" spans="1:8" x14ac:dyDescent="0.2">
      <c r="A6" s="348" t="str">
        <f>Postos!A10:W10</f>
        <v>CNPJ</v>
      </c>
      <c r="B6" s="348"/>
      <c r="C6" s="348"/>
      <c r="D6" s="348"/>
      <c r="E6" s="348"/>
      <c r="F6" s="348"/>
      <c r="G6" s="348"/>
      <c r="H6" s="348"/>
    </row>
    <row r="7" spans="1:8" x14ac:dyDescent="0.2">
      <c r="A7" s="28"/>
      <c r="B7" s="28"/>
      <c r="C7" s="28"/>
      <c r="D7" s="28"/>
      <c r="E7" s="28"/>
      <c r="F7" s="28"/>
      <c r="G7" s="28"/>
      <c r="H7" s="28"/>
    </row>
    <row r="8" spans="1:8" ht="12.75" customHeight="1" x14ac:dyDescent="0.2">
      <c r="A8" s="349" t="s">
        <v>32</v>
      </c>
      <c r="B8" s="349"/>
      <c r="C8" s="349"/>
      <c r="D8" s="349"/>
      <c r="E8" s="349"/>
      <c r="F8" s="165"/>
      <c r="G8" s="33" t="s">
        <v>33</v>
      </c>
      <c r="H8" s="33"/>
    </row>
    <row r="9" spans="1:8" x14ac:dyDescent="0.2">
      <c r="A9" s="349"/>
      <c r="B9" s="349"/>
      <c r="C9" s="349"/>
      <c r="D9" s="349"/>
      <c r="E9" s="349"/>
      <c r="F9" s="165" t="s">
        <v>34</v>
      </c>
      <c r="G9" s="33" t="s">
        <v>35</v>
      </c>
      <c r="H9" s="33"/>
    </row>
    <row r="10" spans="1:8" x14ac:dyDescent="0.2">
      <c r="A10" s="28"/>
      <c r="B10" s="28"/>
      <c r="C10" s="28"/>
      <c r="D10" s="28"/>
      <c r="E10" s="28"/>
      <c r="F10" s="28"/>
      <c r="G10" s="28"/>
      <c r="H10" s="28"/>
    </row>
    <row r="11" spans="1:8" ht="27" customHeight="1" x14ac:dyDescent="0.2">
      <c r="A11" s="350" t="s">
        <v>36</v>
      </c>
      <c r="B11" s="350"/>
      <c r="C11" s="350"/>
      <c r="D11" s="350"/>
      <c r="E11" s="350"/>
      <c r="F11" s="350"/>
      <c r="G11" s="350"/>
      <c r="H11" s="350"/>
    </row>
    <row r="12" spans="1:8" x14ac:dyDescent="0.2">
      <c r="A12" s="29"/>
      <c r="B12" s="29"/>
      <c r="C12" s="29"/>
      <c r="D12" s="29"/>
      <c r="E12" s="29"/>
      <c r="F12" s="34"/>
      <c r="G12" s="32"/>
      <c r="H12" s="32"/>
    </row>
    <row r="13" spans="1:8" ht="17.25" x14ac:dyDescent="0.3">
      <c r="A13" s="351" t="s">
        <v>37</v>
      </c>
      <c r="B13" s="351"/>
      <c r="C13" s="351"/>
      <c r="D13" s="351"/>
      <c r="E13" s="351"/>
      <c r="F13" s="351"/>
      <c r="G13" s="351"/>
      <c r="H13" s="35"/>
    </row>
    <row r="14" spans="1:8" x14ac:dyDescent="0.2">
      <c r="A14" s="28"/>
      <c r="B14" s="28"/>
      <c r="C14" s="28"/>
      <c r="D14" s="28"/>
      <c r="E14" s="28"/>
      <c r="F14" s="36" t="s">
        <v>38</v>
      </c>
      <c r="G14" s="36" t="s">
        <v>39</v>
      </c>
      <c r="H14" s="36" t="s">
        <v>40</v>
      </c>
    </row>
    <row r="15" spans="1:8" x14ac:dyDescent="0.2">
      <c r="A15" s="352" t="s">
        <v>41</v>
      </c>
      <c r="B15" s="352"/>
      <c r="C15" s="352"/>
      <c r="D15" s="352"/>
      <c r="E15" s="352"/>
      <c r="F15" s="168">
        <v>20</v>
      </c>
      <c r="G15" s="37" t="s">
        <v>42</v>
      </c>
      <c r="H15" s="37" t="s">
        <v>43</v>
      </c>
    </row>
    <row r="16" spans="1:8" x14ac:dyDescent="0.2">
      <c r="A16" s="352" t="s">
        <v>44</v>
      </c>
      <c r="B16" s="352"/>
      <c r="C16" s="352"/>
      <c r="D16" s="352"/>
      <c r="E16" s="352"/>
      <c r="F16" s="168">
        <v>1.5</v>
      </c>
      <c r="G16" s="37" t="s">
        <v>45</v>
      </c>
      <c r="H16" s="37" t="s">
        <v>46</v>
      </c>
    </row>
    <row r="17" spans="1:8" x14ac:dyDescent="0.2">
      <c r="A17" s="352" t="s">
        <v>47</v>
      </c>
      <c r="B17" s="352"/>
      <c r="C17" s="352"/>
      <c r="D17" s="352"/>
      <c r="E17" s="352"/>
      <c r="F17" s="168">
        <v>0.2</v>
      </c>
      <c r="G17" s="37" t="s">
        <v>48</v>
      </c>
      <c r="H17" s="37" t="s">
        <v>49</v>
      </c>
    </row>
    <row r="18" spans="1:8" x14ac:dyDescent="0.2">
      <c r="A18" s="352" t="s">
        <v>50</v>
      </c>
      <c r="B18" s="352"/>
      <c r="C18" s="352"/>
      <c r="D18" s="352"/>
      <c r="E18" s="352"/>
      <c r="F18" s="168">
        <v>1</v>
      </c>
      <c r="G18" s="37" t="s">
        <v>51</v>
      </c>
      <c r="H18" s="37" t="s">
        <v>52</v>
      </c>
    </row>
    <row r="19" spans="1:8" ht="22.5" x14ac:dyDescent="0.2">
      <c r="A19" s="352" t="s">
        <v>53</v>
      </c>
      <c r="B19" s="352"/>
      <c r="C19" s="352"/>
      <c r="D19" s="352"/>
      <c r="E19" s="352"/>
      <c r="F19" s="168">
        <v>2.5</v>
      </c>
      <c r="G19" s="37" t="s">
        <v>54</v>
      </c>
      <c r="H19" s="37" t="s">
        <v>55</v>
      </c>
    </row>
    <row r="20" spans="1:8" x14ac:dyDescent="0.2">
      <c r="A20" s="352" t="s">
        <v>56</v>
      </c>
      <c r="B20" s="352"/>
      <c r="C20" s="352"/>
      <c r="D20" s="352"/>
      <c r="E20" s="352"/>
      <c r="F20" s="168">
        <v>0.6</v>
      </c>
      <c r="G20" s="37" t="s">
        <v>57</v>
      </c>
      <c r="H20" s="37" t="s">
        <v>58</v>
      </c>
    </row>
    <row r="21" spans="1:8" ht="33.75" x14ac:dyDescent="0.2">
      <c r="A21" s="38" t="s">
        <v>59</v>
      </c>
      <c r="B21" s="166">
        <v>3</v>
      </c>
      <c r="C21" s="38" t="s">
        <v>60</v>
      </c>
      <c r="D21" s="167">
        <v>1</v>
      </c>
      <c r="E21" s="38" t="s">
        <v>61</v>
      </c>
      <c r="F21" s="40">
        <f>B21*D21</f>
        <v>3</v>
      </c>
      <c r="G21" s="37" t="s">
        <v>62</v>
      </c>
      <c r="H21" s="37" t="s">
        <v>63</v>
      </c>
    </row>
    <row r="22" spans="1:8" ht="22.5" x14ac:dyDescent="0.2">
      <c r="A22" s="352" t="s">
        <v>64</v>
      </c>
      <c r="B22" s="352"/>
      <c r="C22" s="352"/>
      <c r="D22" s="352"/>
      <c r="E22" s="352"/>
      <c r="F22" s="169">
        <v>8</v>
      </c>
      <c r="G22" s="37" t="s">
        <v>65</v>
      </c>
      <c r="H22" s="37" t="s">
        <v>66</v>
      </c>
    </row>
    <row r="23" spans="1:8" ht="13.5" customHeight="1" x14ac:dyDescent="0.2">
      <c r="A23" s="353" t="s">
        <v>67</v>
      </c>
      <c r="B23" s="353"/>
      <c r="C23" s="353"/>
      <c r="D23" s="353"/>
      <c r="E23" s="353"/>
      <c r="F23" s="41">
        <f>SUM(F15:F22)</f>
        <v>36.799999999999997</v>
      </c>
      <c r="G23" s="42"/>
      <c r="H23" s="43"/>
    </row>
    <row r="24" spans="1:8" x14ac:dyDescent="0.2">
      <c r="A24" s="27"/>
      <c r="B24" s="27"/>
      <c r="C24" s="27"/>
      <c r="D24" s="27"/>
      <c r="E24" s="27"/>
      <c r="F24" s="34"/>
      <c r="G24" s="43"/>
      <c r="H24" s="43"/>
    </row>
    <row r="25" spans="1:8" ht="17.25" x14ac:dyDescent="0.3">
      <c r="A25" s="351" t="s">
        <v>68</v>
      </c>
      <c r="B25" s="351"/>
      <c r="C25" s="351"/>
      <c r="D25" s="351"/>
      <c r="E25" s="351"/>
      <c r="F25" s="351"/>
      <c r="G25" s="351"/>
      <c r="H25" s="35"/>
    </row>
    <row r="26" spans="1:8" x14ac:dyDescent="0.2">
      <c r="A26" s="28"/>
      <c r="B26" s="28"/>
      <c r="C26" s="28"/>
      <c r="D26" s="28"/>
      <c r="E26" s="28"/>
      <c r="F26" s="36" t="s">
        <v>38</v>
      </c>
      <c r="G26" s="36" t="s">
        <v>39</v>
      </c>
      <c r="H26" s="36" t="s">
        <v>40</v>
      </c>
    </row>
    <row r="27" spans="1:8" ht="33.75" x14ac:dyDescent="0.2">
      <c r="A27" s="352" t="s">
        <v>69</v>
      </c>
      <c r="B27" s="352"/>
      <c r="C27" s="352"/>
      <c r="D27" s="352"/>
      <c r="E27" s="352"/>
      <c r="F27" s="170">
        <v>2.78</v>
      </c>
      <c r="G27" s="37" t="s">
        <v>70</v>
      </c>
      <c r="H27" s="37" t="s">
        <v>71</v>
      </c>
    </row>
    <row r="28" spans="1:8" ht="33.75" x14ac:dyDescent="0.2">
      <c r="A28" s="352" t="s">
        <v>72</v>
      </c>
      <c r="B28" s="352"/>
      <c r="C28" s="352"/>
      <c r="D28" s="352"/>
      <c r="E28" s="352"/>
      <c r="F28" s="170">
        <v>8.33</v>
      </c>
      <c r="G28" s="37" t="s">
        <v>73</v>
      </c>
      <c r="H28" s="37" t="s">
        <v>74</v>
      </c>
    </row>
    <row r="29" spans="1:8" x14ac:dyDescent="0.2">
      <c r="A29" s="354" t="s">
        <v>75</v>
      </c>
      <c r="B29" s="354"/>
      <c r="C29" s="354"/>
      <c r="D29" s="354"/>
      <c r="E29" s="354"/>
      <c r="F29" s="44">
        <f>F28+F27</f>
        <v>11.11</v>
      </c>
      <c r="G29" s="45"/>
      <c r="H29" s="45"/>
    </row>
    <row r="30" spans="1:8" x14ac:dyDescent="0.2">
      <c r="A30" s="355" t="s">
        <v>76</v>
      </c>
      <c r="B30" s="355"/>
      <c r="C30" s="355"/>
      <c r="D30" s="355"/>
      <c r="E30" s="355"/>
      <c r="F30" s="46">
        <f>F29%*F23</f>
        <v>4.0884799999999997</v>
      </c>
      <c r="G30" s="47" t="s">
        <v>77</v>
      </c>
      <c r="H30" s="48" t="s">
        <v>78</v>
      </c>
    </row>
    <row r="31" spans="1:8" ht="13.5" customHeight="1" x14ac:dyDescent="0.2">
      <c r="A31" s="356" t="s">
        <v>79</v>
      </c>
      <c r="B31" s="356"/>
      <c r="C31" s="356"/>
      <c r="D31" s="356"/>
      <c r="E31" s="356"/>
      <c r="F31" s="41">
        <f>F29+F30</f>
        <v>15.19848</v>
      </c>
      <c r="G31" s="49"/>
      <c r="H31" s="50"/>
    </row>
    <row r="32" spans="1:8" x14ac:dyDescent="0.2">
      <c r="A32" s="27"/>
      <c r="B32" s="27"/>
      <c r="C32" s="27"/>
      <c r="D32" s="27"/>
      <c r="E32" s="27"/>
      <c r="F32" s="34"/>
      <c r="G32" s="32"/>
      <c r="H32" s="32"/>
    </row>
    <row r="33" spans="1:8" ht="17.25" x14ac:dyDescent="0.3">
      <c r="A33" s="351" t="s">
        <v>80</v>
      </c>
      <c r="B33" s="351"/>
      <c r="C33" s="351"/>
      <c r="D33" s="351"/>
      <c r="E33" s="351"/>
      <c r="F33" s="351"/>
      <c r="G33" s="351"/>
      <c r="H33" s="35"/>
    </row>
    <row r="34" spans="1:8" x14ac:dyDescent="0.2">
      <c r="A34" s="28"/>
      <c r="B34" s="28"/>
      <c r="C34" s="28"/>
      <c r="D34" s="28"/>
      <c r="E34" s="28"/>
      <c r="F34" s="36" t="s">
        <v>38</v>
      </c>
      <c r="G34" s="36" t="s">
        <v>39</v>
      </c>
      <c r="H34" s="36" t="s">
        <v>40</v>
      </c>
    </row>
    <row r="35" spans="1:8" ht="33.75" x14ac:dyDescent="0.2">
      <c r="A35" s="352" t="s">
        <v>81</v>
      </c>
      <c r="B35" s="352"/>
      <c r="C35" s="352"/>
      <c r="D35" s="352"/>
      <c r="E35" s="352"/>
      <c r="F35" s="168">
        <v>0.03</v>
      </c>
      <c r="G35" s="37" t="s">
        <v>82</v>
      </c>
      <c r="H35" s="37" t="s">
        <v>83</v>
      </c>
    </row>
    <row r="36" spans="1:8" x14ac:dyDescent="0.2">
      <c r="A36" s="357" t="s">
        <v>84</v>
      </c>
      <c r="B36" s="357"/>
      <c r="C36" s="357"/>
      <c r="D36" s="357"/>
      <c r="E36" s="357"/>
      <c r="F36" s="51">
        <f>F35%*F23</f>
        <v>1.1039999999999998E-2</v>
      </c>
      <c r="G36" s="47" t="s">
        <v>85</v>
      </c>
      <c r="H36" s="48" t="s">
        <v>86</v>
      </c>
    </row>
    <row r="37" spans="1:8" ht="13.5" customHeight="1" x14ac:dyDescent="0.2">
      <c r="A37" s="353" t="s">
        <v>87</v>
      </c>
      <c r="B37" s="353"/>
      <c r="C37" s="353"/>
      <c r="D37" s="353"/>
      <c r="E37" s="353"/>
      <c r="F37" s="41">
        <f>F35+F36</f>
        <v>4.1039999999999993E-2</v>
      </c>
      <c r="G37" s="42"/>
      <c r="H37" s="43"/>
    </row>
    <row r="38" spans="1:8" x14ac:dyDescent="0.2">
      <c r="A38" s="27"/>
      <c r="B38" s="27"/>
      <c r="C38" s="27"/>
      <c r="D38" s="27"/>
      <c r="E38" s="27"/>
      <c r="F38" s="34"/>
      <c r="G38" s="32"/>
      <c r="H38" s="32"/>
    </row>
    <row r="39" spans="1:8" ht="17.25" x14ac:dyDescent="0.3">
      <c r="A39" s="187" t="s">
        <v>88</v>
      </c>
      <c r="B39" s="187"/>
      <c r="C39" s="187"/>
      <c r="D39" s="187"/>
      <c r="E39" s="187"/>
      <c r="F39" s="187"/>
      <c r="G39" s="187"/>
      <c r="H39" s="52"/>
    </row>
    <row r="40" spans="1:8" x14ac:dyDescent="0.2">
      <c r="A40" s="28"/>
      <c r="B40" s="28"/>
      <c r="C40" s="28"/>
      <c r="D40" s="28"/>
      <c r="E40" s="28"/>
      <c r="F40" s="36" t="s">
        <v>38</v>
      </c>
      <c r="G40" s="36" t="s">
        <v>39</v>
      </c>
      <c r="H40" s="36" t="s">
        <v>40</v>
      </c>
    </row>
    <row r="41" spans="1:8" ht="67.5" x14ac:dyDescent="0.2">
      <c r="A41" s="352" t="s">
        <v>89</v>
      </c>
      <c r="B41" s="352"/>
      <c r="C41" s="352"/>
      <c r="D41" s="352"/>
      <c r="E41" s="352"/>
      <c r="F41" s="168">
        <v>0.42</v>
      </c>
      <c r="G41" s="37" t="s">
        <v>90</v>
      </c>
      <c r="H41" s="37" t="s">
        <v>91</v>
      </c>
    </row>
    <row r="42" spans="1:8" x14ac:dyDescent="0.2">
      <c r="A42" s="352" t="s">
        <v>92</v>
      </c>
      <c r="B42" s="352"/>
      <c r="C42" s="352"/>
      <c r="D42" s="352"/>
      <c r="E42" s="352"/>
      <c r="F42" s="53">
        <f>F41*8%</f>
        <v>3.3599999999999998E-2</v>
      </c>
      <c r="G42" s="37" t="s">
        <v>93</v>
      </c>
      <c r="H42" s="54" t="s">
        <v>94</v>
      </c>
    </row>
    <row r="43" spans="1:8" x14ac:dyDescent="0.2">
      <c r="A43" s="352" t="s">
        <v>95</v>
      </c>
      <c r="B43" s="352"/>
      <c r="C43" s="352"/>
      <c r="D43" s="352"/>
      <c r="E43" s="352"/>
      <c r="F43" s="53">
        <f>F41*8%*40%</f>
        <v>1.3440000000000001E-2</v>
      </c>
      <c r="G43" s="37"/>
      <c r="H43" s="54" t="s">
        <v>96</v>
      </c>
    </row>
    <row r="44" spans="1:8" ht="45" x14ac:dyDescent="0.2">
      <c r="A44" s="352" t="s">
        <v>97</v>
      </c>
      <c r="B44" s="352"/>
      <c r="C44" s="352"/>
      <c r="D44" s="352"/>
      <c r="E44" s="352"/>
      <c r="F44" s="171">
        <v>1.94</v>
      </c>
      <c r="G44" s="37" t="s">
        <v>98</v>
      </c>
      <c r="H44" s="37" t="s">
        <v>99</v>
      </c>
    </row>
    <row r="45" spans="1:8" x14ac:dyDescent="0.2">
      <c r="A45" s="352" t="s">
        <v>100</v>
      </c>
      <c r="B45" s="352"/>
      <c r="C45" s="352"/>
      <c r="D45" s="352"/>
      <c r="E45" s="352"/>
      <c r="F45" s="53">
        <f>$F$23*F44%</f>
        <v>0.71392</v>
      </c>
      <c r="G45" s="55" t="s">
        <v>101</v>
      </c>
      <c r="H45" s="45" t="s">
        <v>102</v>
      </c>
    </row>
    <row r="46" spans="1:8" x14ac:dyDescent="0.2">
      <c r="A46" s="352" t="s">
        <v>103</v>
      </c>
      <c r="B46" s="352"/>
      <c r="C46" s="352"/>
      <c r="D46" s="352"/>
      <c r="E46" s="352"/>
      <c r="F46" s="56">
        <f>F44*8%*40%</f>
        <v>6.2080000000000003E-2</v>
      </c>
      <c r="G46" s="57"/>
      <c r="H46" s="45" t="s">
        <v>104</v>
      </c>
    </row>
    <row r="47" spans="1:8" ht="78.75" x14ac:dyDescent="0.2">
      <c r="A47" s="352" t="s">
        <v>105</v>
      </c>
      <c r="B47" s="352"/>
      <c r="C47" s="352"/>
      <c r="D47" s="352"/>
      <c r="E47" s="352"/>
      <c r="F47" s="172">
        <v>3.44</v>
      </c>
      <c r="G47" s="58" t="s">
        <v>106</v>
      </c>
      <c r="H47" s="58" t="s">
        <v>107</v>
      </c>
    </row>
    <row r="48" spans="1:8" ht="13.5" customHeight="1" x14ac:dyDescent="0.2">
      <c r="A48" s="353" t="s">
        <v>108</v>
      </c>
      <c r="B48" s="353"/>
      <c r="C48" s="353"/>
      <c r="D48" s="353"/>
      <c r="E48" s="353"/>
      <c r="F48" s="41">
        <f>SUM(F41:F47)</f>
        <v>6.6230399999999996</v>
      </c>
      <c r="G48" s="42"/>
      <c r="H48" s="43"/>
    </row>
    <row r="49" spans="1:13" x14ac:dyDescent="0.2">
      <c r="A49" s="59"/>
      <c r="B49" s="59"/>
      <c r="C49" s="59"/>
      <c r="D49" s="59"/>
      <c r="E49" s="59"/>
      <c r="F49" s="34"/>
      <c r="G49" s="32"/>
      <c r="H49" s="32"/>
    </row>
    <row r="50" spans="1:13" ht="17.25" x14ac:dyDescent="0.3">
      <c r="A50" s="351" t="s">
        <v>109</v>
      </c>
      <c r="B50" s="351"/>
      <c r="C50" s="351"/>
      <c r="D50" s="351"/>
      <c r="E50" s="351"/>
      <c r="F50" s="351"/>
      <c r="G50" s="351"/>
      <c r="H50" s="35"/>
    </row>
    <row r="51" spans="1:13" x14ac:dyDescent="0.2">
      <c r="A51" s="28"/>
      <c r="B51" s="28"/>
      <c r="C51" s="28"/>
      <c r="D51" s="28"/>
      <c r="E51" s="28"/>
      <c r="F51" s="36" t="s">
        <v>38</v>
      </c>
      <c r="G51" s="36" t="s">
        <v>39</v>
      </c>
      <c r="H51" s="36" t="s">
        <v>40</v>
      </c>
    </row>
    <row r="52" spans="1:13" ht="45" x14ac:dyDescent="0.2">
      <c r="A52" s="352" t="s">
        <v>110</v>
      </c>
      <c r="B52" s="352"/>
      <c r="C52" s="352"/>
      <c r="D52" s="352"/>
      <c r="E52" s="352"/>
      <c r="F52" s="168">
        <v>8.33</v>
      </c>
      <c r="G52" s="37" t="s">
        <v>111</v>
      </c>
      <c r="H52" s="37" t="s">
        <v>112</v>
      </c>
      <c r="M52" s="61"/>
    </row>
    <row r="53" spans="1:13" ht="78.75" x14ac:dyDescent="0.2">
      <c r="A53" s="352" t="s">
        <v>113</v>
      </c>
      <c r="B53" s="352"/>
      <c r="C53" s="352"/>
      <c r="D53" s="352"/>
      <c r="E53" s="352"/>
      <c r="F53" s="168">
        <v>1.66</v>
      </c>
      <c r="G53" s="37" t="s">
        <v>114</v>
      </c>
      <c r="H53" s="37" t="s">
        <v>115</v>
      </c>
    </row>
    <row r="54" spans="1:13" ht="67.5" x14ac:dyDescent="0.2">
      <c r="A54" s="352" t="s">
        <v>116</v>
      </c>
      <c r="B54" s="352"/>
      <c r="C54" s="352"/>
      <c r="D54" s="352"/>
      <c r="E54" s="352"/>
      <c r="F54" s="168">
        <v>0.02</v>
      </c>
      <c r="G54" s="37" t="s">
        <v>117</v>
      </c>
      <c r="H54" s="37" t="s">
        <v>118</v>
      </c>
    </row>
    <row r="55" spans="1:13" ht="56.25" x14ac:dyDescent="0.2">
      <c r="A55" s="352" t="s">
        <v>119</v>
      </c>
      <c r="B55" s="352"/>
      <c r="C55" s="352"/>
      <c r="D55" s="352"/>
      <c r="E55" s="352"/>
      <c r="F55" s="168">
        <v>0.28000000000000003</v>
      </c>
      <c r="G55" s="37" t="s">
        <v>120</v>
      </c>
      <c r="H55" s="37" t="s">
        <v>121</v>
      </c>
    </row>
    <row r="56" spans="1:13" ht="101.25" x14ac:dyDescent="0.2">
      <c r="A56" s="352" t="s">
        <v>122</v>
      </c>
      <c r="B56" s="352"/>
      <c r="C56" s="352"/>
      <c r="D56" s="352"/>
      <c r="E56" s="352"/>
      <c r="F56" s="168">
        <v>0.03</v>
      </c>
      <c r="G56" s="37" t="s">
        <v>123</v>
      </c>
      <c r="H56" s="37" t="s">
        <v>124</v>
      </c>
    </row>
    <row r="57" spans="1:13" x14ac:dyDescent="0.2">
      <c r="A57" s="358" t="s">
        <v>125</v>
      </c>
      <c r="B57" s="358"/>
      <c r="C57" s="358"/>
      <c r="D57" s="358"/>
      <c r="E57" s="358"/>
      <c r="F57" s="62">
        <f>SUM(F52:F56)</f>
        <v>10.319999999999999</v>
      </c>
      <c r="G57" s="63"/>
      <c r="H57" s="63"/>
    </row>
    <row r="58" spans="1:13" ht="26.25" customHeight="1" x14ac:dyDescent="0.2">
      <c r="A58" s="359" t="s">
        <v>126</v>
      </c>
      <c r="B58" s="359"/>
      <c r="C58" s="359"/>
      <c r="D58" s="359"/>
      <c r="E58" s="359"/>
      <c r="F58" s="64">
        <f>F57%*$F$23</f>
        <v>3.7977599999999994</v>
      </c>
      <c r="G58" s="65" t="s">
        <v>127</v>
      </c>
      <c r="H58" s="66" t="s">
        <v>128</v>
      </c>
    </row>
    <row r="59" spans="1:13" ht="13.5" customHeight="1" x14ac:dyDescent="0.2">
      <c r="A59" s="353" t="s">
        <v>129</v>
      </c>
      <c r="B59" s="353"/>
      <c r="C59" s="353"/>
      <c r="D59" s="353"/>
      <c r="E59" s="353"/>
      <c r="F59" s="41">
        <f>F57+F58</f>
        <v>14.117759999999997</v>
      </c>
      <c r="G59" s="42"/>
      <c r="H59" s="43"/>
    </row>
    <row r="60" spans="1:13" x14ac:dyDescent="0.2">
      <c r="A60" s="59"/>
      <c r="B60" s="59"/>
      <c r="C60" s="59"/>
      <c r="D60" s="59"/>
      <c r="E60" s="59"/>
      <c r="F60" s="34"/>
      <c r="G60" s="32"/>
      <c r="H60" s="32"/>
    </row>
    <row r="61" spans="1:13" ht="13.5" customHeight="1" x14ac:dyDescent="0.2">
      <c r="A61" s="360" t="s">
        <v>130</v>
      </c>
      <c r="B61" s="360"/>
      <c r="C61" s="360"/>
      <c r="D61" s="360"/>
      <c r="E61" s="360"/>
      <c r="F61" s="360"/>
      <c r="G61" s="360"/>
      <c r="H61" s="360"/>
    </row>
    <row r="62" spans="1:13" x14ac:dyDescent="0.2">
      <c r="A62" s="28"/>
      <c r="B62" s="28"/>
      <c r="C62" s="28"/>
      <c r="D62" s="28"/>
      <c r="E62" s="28"/>
      <c r="F62" s="31"/>
      <c r="G62" s="67"/>
      <c r="H62" s="67"/>
    </row>
    <row r="63" spans="1:13" ht="13.5" customHeight="1" x14ac:dyDescent="0.2">
      <c r="A63" s="361" t="s">
        <v>131</v>
      </c>
      <c r="B63" s="361"/>
      <c r="C63" s="361"/>
      <c r="D63" s="361"/>
      <c r="E63" s="361"/>
      <c r="F63" s="68">
        <f>F23</f>
        <v>36.799999999999997</v>
      </c>
      <c r="G63" s="28"/>
      <c r="H63" s="28"/>
    </row>
    <row r="64" spans="1:13" ht="13.5" customHeight="1" x14ac:dyDescent="0.2">
      <c r="A64" s="361" t="s">
        <v>132</v>
      </c>
      <c r="B64" s="361"/>
      <c r="C64" s="361"/>
      <c r="D64" s="361"/>
      <c r="E64" s="361"/>
      <c r="F64" s="68">
        <f>F31</f>
        <v>15.19848</v>
      </c>
      <c r="G64" s="28"/>
      <c r="H64" s="28"/>
    </row>
    <row r="65" spans="1:8" ht="13.5" customHeight="1" x14ac:dyDescent="0.2">
      <c r="A65" s="361" t="s">
        <v>133</v>
      </c>
      <c r="B65" s="361"/>
      <c r="C65" s="361"/>
      <c r="D65" s="361"/>
      <c r="E65" s="361"/>
      <c r="F65" s="68">
        <f>F37</f>
        <v>4.1039999999999993E-2</v>
      </c>
      <c r="G65" s="28"/>
      <c r="H65" s="28"/>
    </row>
    <row r="66" spans="1:8" ht="13.5" customHeight="1" x14ac:dyDescent="0.2">
      <c r="A66" s="361" t="s">
        <v>134</v>
      </c>
      <c r="B66" s="361"/>
      <c r="C66" s="361"/>
      <c r="D66" s="361"/>
      <c r="E66" s="361"/>
      <c r="F66" s="68">
        <f>F48</f>
        <v>6.6230399999999996</v>
      </c>
      <c r="G66" s="28"/>
      <c r="H66" s="28"/>
    </row>
    <row r="67" spans="1:8" ht="13.5" customHeight="1" x14ac:dyDescent="0.2">
      <c r="A67" s="361" t="s">
        <v>135</v>
      </c>
      <c r="B67" s="361"/>
      <c r="C67" s="361"/>
      <c r="D67" s="361"/>
      <c r="E67" s="361"/>
      <c r="F67" s="68">
        <f>F59</f>
        <v>14.117759999999997</v>
      </c>
      <c r="G67" s="28"/>
      <c r="H67" s="28"/>
    </row>
    <row r="68" spans="1:8" ht="13.5" customHeight="1" x14ac:dyDescent="0.2">
      <c r="A68" s="353" t="s">
        <v>136</v>
      </c>
      <c r="B68" s="353"/>
      <c r="C68" s="353"/>
      <c r="D68" s="353"/>
      <c r="E68" s="353"/>
      <c r="F68" s="41">
        <f>SUM(F63:F67)</f>
        <v>72.780319999999989</v>
      </c>
      <c r="G68" s="42" t="s">
        <v>38</v>
      </c>
      <c r="H68" s="43"/>
    </row>
    <row r="69" spans="1:8" ht="15" x14ac:dyDescent="0.2">
      <c r="A69" s="69"/>
      <c r="B69" s="69"/>
      <c r="C69" s="69"/>
      <c r="D69" s="69"/>
      <c r="E69" s="69"/>
      <c r="F69" s="70"/>
      <c r="G69" s="70"/>
      <c r="H69" s="70"/>
    </row>
    <row r="70" spans="1:8" x14ac:dyDescent="0.2">
      <c r="A70" s="362" t="s">
        <v>137</v>
      </c>
      <c r="B70" s="362"/>
      <c r="C70" s="362"/>
      <c r="D70" s="28"/>
      <c r="E70" s="28"/>
      <c r="F70" s="31"/>
      <c r="G70" s="32"/>
      <c r="H70" s="32"/>
    </row>
  </sheetData>
  <sheetProtection algorithmName="SHA-512" hashValue="E+HN+y/yGcxJt0w81EcYJMQzWHWDqt2IV7l5sx+ceXS8hLFYdFMnPBRHcKUl8iD2wfiiOXXB8RsdSemQ/cs1vg==" saltValue="BiztR2+aAws9tIrok40LvA==" spinCount="100000" sheet="1" objects="1" scenarios="1" selectLockedCells="1"/>
  <mergeCells count="51">
    <mergeCell ref="A70:C70"/>
    <mergeCell ref="A64:E64"/>
    <mergeCell ref="A65:E65"/>
    <mergeCell ref="A66:E66"/>
    <mergeCell ref="A67:E67"/>
    <mergeCell ref="A68:E68"/>
    <mergeCell ref="A57:E57"/>
    <mergeCell ref="A58:E58"/>
    <mergeCell ref="A59:E59"/>
    <mergeCell ref="A61:H61"/>
    <mergeCell ref="A63:E63"/>
    <mergeCell ref="A52:E52"/>
    <mergeCell ref="A53:E53"/>
    <mergeCell ref="A54:E54"/>
    <mergeCell ref="A55:E55"/>
    <mergeCell ref="A56:E56"/>
    <mergeCell ref="A45:E45"/>
    <mergeCell ref="A46:E46"/>
    <mergeCell ref="A47:E47"/>
    <mergeCell ref="A48:E48"/>
    <mergeCell ref="A50:G50"/>
    <mergeCell ref="A37:E37"/>
    <mergeCell ref="A41:E41"/>
    <mergeCell ref="A42:E42"/>
    <mergeCell ref="A43:E43"/>
    <mergeCell ref="A44:E44"/>
    <mergeCell ref="A30:E30"/>
    <mergeCell ref="A31:E31"/>
    <mergeCell ref="A33:G33"/>
    <mergeCell ref="A35:E35"/>
    <mergeCell ref="A36:E36"/>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H9">
    <cfRule type="expression" dxfId="3" priority="2">
      <formula>$F$9&lt;&gt;""</formula>
    </cfRule>
  </conditionalFormatting>
  <conditionalFormatting sqref="G8">
    <cfRule type="expression" dxfId="2" priority="3">
      <formula>$F$8&lt;&gt;""</formula>
    </cfRule>
  </conditionalFormatting>
  <conditionalFormatting sqref="G9">
    <cfRule type="expression" dxfId="1" priority="4">
      <formula>$F$9&lt;&gt;""</formula>
    </cfRule>
  </conditionalFormatting>
  <conditionalFormatting sqref="H8">
    <cfRule type="expression" dxfId="0" priority="5">
      <formula>$F$8&lt;&gt;""</formula>
    </cfRule>
  </conditionalFormatting>
  <printOptions horizontalCentered="1"/>
  <pageMargins left="0.11811023622047245" right="0.11811023622047245" top="0.74803149606299213" bottom="0.27559055118110237" header="0.19685039370078741" footer="7.874015748031496E-2"/>
  <pageSetup paperSize="9" scale="70"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activeCell="B18" sqref="B18"/>
    </sheetView>
  </sheetViews>
  <sheetFormatPr defaultRowHeight="15" x14ac:dyDescent="0.25"/>
  <cols>
    <col min="1" max="1" width="56.7109375" style="14" customWidth="1"/>
    <col min="2" max="2" width="17.85546875" style="14" customWidth="1"/>
    <col min="3" max="1025" width="9.140625" style="14" customWidth="1"/>
    <col min="1026" max="16384" width="9.140625" style="4"/>
  </cols>
  <sheetData>
    <row r="1" spans="1:2" ht="18" x14ac:dyDescent="0.25">
      <c r="A1" s="366" t="str">
        <f>Postos!A1:W1</f>
        <v>TRIBUNAL REGIONAL ELEITORAL DO PARANÁ</v>
      </c>
      <c r="B1" s="366"/>
    </row>
    <row r="2" spans="1:2" x14ac:dyDescent="0.25">
      <c r="A2" s="367" t="str">
        <f>Postos!A2:W2</f>
        <v>Planilha de Custos e Formação de Preços - Estimativa TRE-PR</v>
      </c>
      <c r="B2" s="367"/>
    </row>
    <row r="3" spans="1:2" x14ac:dyDescent="0.25">
      <c r="A3" s="368" t="str">
        <f>Postos!A3:W3</f>
        <v>Serviços de Bombeiro Civil</v>
      </c>
      <c r="B3" s="368"/>
    </row>
    <row r="4" spans="1:2" x14ac:dyDescent="0.25">
      <c r="A4" s="369"/>
      <c r="B4" s="369"/>
    </row>
    <row r="5" spans="1:2" x14ac:dyDescent="0.25">
      <c r="A5" s="370" t="str">
        <f>Postos!A9:W9</f>
        <v>Empresa</v>
      </c>
      <c r="B5" s="370"/>
    </row>
    <row r="6" spans="1:2" x14ac:dyDescent="0.25">
      <c r="A6" s="363" t="str">
        <f>Postos!A10:W10</f>
        <v>CNPJ</v>
      </c>
      <c r="B6" s="363"/>
    </row>
    <row r="7" spans="1:2" x14ac:dyDescent="0.25">
      <c r="A7" s="2"/>
      <c r="B7" s="2"/>
    </row>
    <row r="8" spans="1:2" ht="30" customHeight="1" x14ac:dyDescent="0.25">
      <c r="A8" s="360" t="s">
        <v>138</v>
      </c>
      <c r="B8" s="360"/>
    </row>
    <row r="9" spans="1:2" x14ac:dyDescent="0.25">
      <c r="A9" s="71"/>
      <c r="B9" s="71"/>
    </row>
    <row r="10" spans="1:2" x14ac:dyDescent="0.25">
      <c r="A10" s="72" t="s">
        <v>7</v>
      </c>
      <c r="B10" s="73" t="s">
        <v>139</v>
      </c>
    </row>
    <row r="11" spans="1:2" x14ac:dyDescent="0.25">
      <c r="A11" s="74" t="s">
        <v>140</v>
      </c>
      <c r="B11" s="173">
        <v>0.03</v>
      </c>
    </row>
    <row r="12" spans="1:2" x14ac:dyDescent="0.25">
      <c r="A12" s="75" t="s">
        <v>141</v>
      </c>
      <c r="B12" s="174">
        <v>6.7900000000000002E-2</v>
      </c>
    </row>
    <row r="13" spans="1:2" x14ac:dyDescent="0.25">
      <c r="A13" s="75" t="s">
        <v>142</v>
      </c>
      <c r="B13" s="174">
        <v>1.6500000000000001E-2</v>
      </c>
    </row>
    <row r="14" spans="1:2" ht="16.5" customHeight="1" x14ac:dyDescent="0.25">
      <c r="A14" s="75" t="s">
        <v>143</v>
      </c>
      <c r="B14" s="174">
        <v>7.5999999999999998E-2</v>
      </c>
    </row>
    <row r="15" spans="1:2" x14ac:dyDescent="0.25">
      <c r="A15" s="75" t="s">
        <v>144</v>
      </c>
      <c r="B15" s="174">
        <v>0.05</v>
      </c>
    </row>
    <row r="16" spans="1:2" x14ac:dyDescent="0.25">
      <c r="A16" s="76" t="s">
        <v>145</v>
      </c>
      <c r="B16" s="175"/>
    </row>
    <row r="17" spans="1:2" ht="32.25" customHeight="1" x14ac:dyDescent="0.25">
      <c r="A17" s="364" t="s">
        <v>146</v>
      </c>
      <c r="B17" s="364"/>
    </row>
    <row r="18" spans="1:2" x14ac:dyDescent="0.25">
      <c r="A18" s="77" t="s">
        <v>147</v>
      </c>
      <c r="B18" s="126">
        <f>((1+B11)/(1-(B13+B14+B15+B16)-B12))-1</f>
        <v>0.30445795339412363</v>
      </c>
    </row>
    <row r="19" spans="1:2" x14ac:dyDescent="0.25">
      <c r="A19" s="78"/>
      <c r="B19" s="79"/>
    </row>
    <row r="20" spans="1:2" x14ac:dyDescent="0.25">
      <c r="A20" s="80" t="s">
        <v>148</v>
      </c>
      <c r="B20" s="81"/>
    </row>
    <row r="21" spans="1:2" ht="15" customHeight="1" x14ac:dyDescent="0.25">
      <c r="A21" s="365" t="s">
        <v>149</v>
      </c>
      <c r="B21" s="365"/>
    </row>
  </sheetData>
  <sheetProtection algorithmName="SHA-512" hashValue="/ektyxm/kAZnaW+5KEPXefu7139vGTb9Ohb9kLJdneEoDzsApohaTrrSIH5geH8ya3nK2I5eVohsOTH7YidlNg==" saltValue="9IQqunQjONC850iOLBbJTQ==" spinCount="100000" sheet="1" objects="1" scenarios="1" selectLockedCells="1"/>
  <mergeCells count="9">
    <mergeCell ref="A6:B6"/>
    <mergeCell ref="A8:B8"/>
    <mergeCell ref="A17:B17"/>
    <mergeCell ref="A21:B21"/>
    <mergeCell ref="A1:B1"/>
    <mergeCell ref="A2:B2"/>
    <mergeCell ref="A3:B3"/>
    <mergeCell ref="A4:B4"/>
    <mergeCell ref="A5:B5"/>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sheetPr>
  <dimension ref="A1:AML97"/>
  <sheetViews>
    <sheetView showGridLines="0" view="pageBreakPreview" topLeftCell="A13" zoomScaleNormal="100" workbookViewId="0">
      <selection activeCell="H21" sqref="H21"/>
    </sheetView>
  </sheetViews>
  <sheetFormatPr defaultRowHeight="12.75" x14ac:dyDescent="0.2"/>
  <cols>
    <col min="1" max="1" width="9.140625" style="4"/>
    <col min="2" max="2" width="45.5703125" style="145" customWidth="1"/>
    <col min="3" max="6" width="12.7109375" style="11" customWidth="1"/>
    <col min="7" max="7" width="2.85546875" style="11" customWidth="1"/>
    <col min="8" max="11" width="12.7109375" style="11" customWidth="1"/>
    <col min="12" max="248" width="9.140625" style="11" customWidth="1"/>
    <col min="249" max="249" width="31.28515625" style="11" customWidth="1"/>
    <col min="250" max="250" width="18" style="11" customWidth="1"/>
    <col min="251" max="251" width="14" style="11" customWidth="1"/>
    <col min="252" max="255" width="12.42578125" style="11" customWidth="1"/>
    <col min="256" max="256" width="4.85546875" style="11" customWidth="1"/>
    <col min="257" max="260" width="12.7109375" style="11" customWidth="1"/>
    <col min="261" max="504" width="9.140625" style="11" customWidth="1"/>
    <col min="505" max="505" width="31.28515625" style="11" customWidth="1"/>
    <col min="506" max="506" width="18" style="11" customWidth="1"/>
    <col min="507" max="507" width="14" style="11" customWidth="1"/>
    <col min="508" max="511" width="12.42578125" style="11" customWidth="1"/>
    <col min="512" max="512" width="4.85546875" style="11" customWidth="1"/>
    <col min="513" max="516" width="12.7109375" style="11" customWidth="1"/>
    <col min="517" max="760" width="9.140625" style="11" customWidth="1"/>
    <col min="761" max="761" width="31.28515625" style="11" customWidth="1"/>
    <col min="762" max="762" width="18" style="11" customWidth="1"/>
    <col min="763" max="763" width="14" style="11" customWidth="1"/>
    <col min="764" max="767" width="12.42578125" style="11" customWidth="1"/>
    <col min="768" max="768" width="4.85546875" style="11" customWidth="1"/>
    <col min="769" max="772" width="12.7109375" style="11" customWidth="1"/>
    <col min="773" max="1016" width="9.140625" style="11" customWidth="1"/>
    <col min="1017" max="1017" width="31.28515625" style="11" customWidth="1"/>
    <col min="1018" max="1018" width="18" style="11" customWidth="1"/>
    <col min="1019" max="1019" width="14" style="11" customWidth="1"/>
    <col min="1020" max="1023" width="12.42578125" style="11" customWidth="1"/>
    <col min="1024" max="1024" width="4.85546875" style="11" customWidth="1"/>
    <col min="1025" max="1026" width="12.7109375" style="11" customWidth="1"/>
    <col min="1027" max="16384" width="9.140625" style="4"/>
  </cols>
  <sheetData>
    <row r="1" spans="1:11" s="142" customFormat="1" ht="18" customHeight="1" x14ac:dyDescent="0.2">
      <c r="A1" s="377" t="str">
        <f>Postos!A1:W1</f>
        <v>TRIBUNAL REGIONAL ELEITORAL DO PARANÁ</v>
      </c>
      <c r="B1" s="377"/>
      <c r="C1" s="377"/>
      <c r="D1" s="377"/>
      <c r="E1" s="377"/>
      <c r="F1" s="377"/>
      <c r="G1" s="377"/>
      <c r="H1" s="377"/>
      <c r="I1" s="377"/>
      <c r="J1" s="377"/>
      <c r="K1" s="377"/>
    </row>
    <row r="2" spans="1:11" ht="12.75" customHeight="1" x14ac:dyDescent="0.2">
      <c r="A2" s="378" t="str">
        <f>Postos!A2:W2</f>
        <v>Planilha de Custos e Formação de Preços - Estimativa TRE-PR</v>
      </c>
      <c r="B2" s="378"/>
      <c r="C2" s="378"/>
      <c r="D2" s="378"/>
      <c r="E2" s="378"/>
      <c r="F2" s="378"/>
      <c r="G2" s="378"/>
      <c r="H2" s="378"/>
      <c r="I2" s="378"/>
      <c r="J2" s="378"/>
      <c r="K2" s="378"/>
    </row>
    <row r="3" spans="1:11" ht="15" customHeight="1" x14ac:dyDescent="0.2">
      <c r="A3" s="379" t="str">
        <f>Postos!A3:W3</f>
        <v>Serviços de Bombeiro Civil</v>
      </c>
      <c r="B3" s="379"/>
      <c r="C3" s="379"/>
      <c r="D3" s="379"/>
      <c r="E3" s="379"/>
      <c r="F3" s="379"/>
      <c r="G3" s="379"/>
      <c r="H3" s="379"/>
      <c r="I3" s="379"/>
      <c r="J3" s="379"/>
      <c r="K3" s="379"/>
    </row>
    <row r="4" spans="1:11" ht="15" customHeight="1" x14ac:dyDescent="0.2">
      <c r="A4" s="380"/>
      <c r="B4" s="380"/>
      <c r="C4" s="380"/>
      <c r="D4" s="380"/>
      <c r="E4" s="380"/>
      <c r="F4" s="380"/>
      <c r="G4" s="380"/>
      <c r="H4" s="380"/>
      <c r="I4" s="380"/>
      <c r="J4" s="380"/>
      <c r="K4" s="380"/>
    </row>
    <row r="5" spans="1:11" ht="15" customHeight="1" x14ac:dyDescent="0.2">
      <c r="B5" s="180"/>
      <c r="C5" s="180"/>
      <c r="D5" s="82"/>
      <c r="J5" s="83" t="s">
        <v>150</v>
      </c>
      <c r="K5" s="84" t="str">
        <f>Postos!W5</f>
        <v>4140/2022</v>
      </c>
    </row>
    <row r="6" spans="1:11" ht="15" customHeight="1" x14ac:dyDescent="0.2">
      <c r="B6" s="82"/>
      <c r="C6" s="82"/>
      <c r="D6" s="85"/>
      <c r="J6" s="86" t="s">
        <v>3</v>
      </c>
      <c r="K6" s="140">
        <f>Postos!W7</f>
        <v>0</v>
      </c>
    </row>
    <row r="7" spans="1:11" ht="15" customHeight="1" thickBot="1" x14ac:dyDescent="0.25">
      <c r="B7" s="82"/>
      <c r="C7" s="82"/>
      <c r="D7" s="85"/>
      <c r="E7" s="183"/>
      <c r="F7" s="87"/>
    </row>
    <row r="8" spans="1:11" ht="15" customHeight="1" x14ac:dyDescent="0.2">
      <c r="A8" s="381" t="str">
        <f>Postos!A9:W9</f>
        <v>Empresa</v>
      </c>
      <c r="B8" s="382"/>
      <c r="C8" s="382"/>
      <c r="D8" s="382"/>
      <c r="E8" s="382"/>
      <c r="F8" s="382"/>
      <c r="G8" s="382"/>
      <c r="H8" s="382"/>
      <c r="I8" s="382"/>
      <c r="J8" s="382"/>
      <c r="K8" s="383"/>
    </row>
    <row r="9" spans="1:11" ht="15" customHeight="1" thickBot="1" x14ac:dyDescent="0.25">
      <c r="A9" s="384" t="str">
        <f>Postos!A10:W10</f>
        <v>CNPJ</v>
      </c>
      <c r="B9" s="385"/>
      <c r="C9" s="385"/>
      <c r="D9" s="385"/>
      <c r="E9" s="385"/>
      <c r="F9" s="385"/>
      <c r="G9" s="385"/>
      <c r="H9" s="385"/>
      <c r="I9" s="385"/>
      <c r="J9" s="385"/>
      <c r="K9" s="386"/>
    </row>
    <row r="10" spans="1:11" ht="13.5" thickBot="1" x14ac:dyDescent="0.25">
      <c r="B10" s="88"/>
      <c r="C10" s="88"/>
      <c r="D10" s="88"/>
      <c r="E10" s="88"/>
      <c r="F10" s="88"/>
    </row>
    <row r="11" spans="1:11" ht="25.5" customHeight="1" thickBot="1" x14ac:dyDescent="0.25">
      <c r="A11" s="387" t="s">
        <v>151</v>
      </c>
      <c r="B11" s="388"/>
      <c r="C11" s="388"/>
      <c r="D11" s="388"/>
      <c r="E11" s="388"/>
      <c r="F11" s="388"/>
      <c r="G11" s="388"/>
      <c r="H11" s="388"/>
      <c r="I11" s="388"/>
      <c r="J11" s="388"/>
      <c r="K11" s="389"/>
    </row>
    <row r="12" spans="1:11" s="143" customFormat="1" ht="25.5" customHeight="1" thickBot="1" x14ac:dyDescent="0.3">
      <c r="A12" s="390" t="s">
        <v>202</v>
      </c>
      <c r="B12" s="390"/>
      <c r="C12" s="390"/>
      <c r="D12" s="390"/>
      <c r="E12" s="390"/>
      <c r="F12" s="390"/>
      <c r="G12" s="234"/>
      <c r="H12" s="376" t="s">
        <v>152</v>
      </c>
      <c r="I12" s="376"/>
      <c r="J12" s="376"/>
      <c r="K12" s="376"/>
    </row>
    <row r="13" spans="1:11" ht="27" customHeight="1" thickTop="1" x14ac:dyDescent="0.2">
      <c r="A13" s="391"/>
      <c r="B13" s="391"/>
      <c r="C13" s="391"/>
      <c r="D13" s="392"/>
      <c r="E13" s="231" t="s">
        <v>203</v>
      </c>
      <c r="F13" s="232" t="s">
        <v>204</v>
      </c>
      <c r="H13" s="233" t="s">
        <v>153</v>
      </c>
      <c r="I13" s="233" t="s">
        <v>154</v>
      </c>
      <c r="J13" s="233" t="s">
        <v>155</v>
      </c>
      <c r="K13" s="233" t="s">
        <v>156</v>
      </c>
    </row>
    <row r="14" spans="1:11" ht="29.25" customHeight="1" x14ac:dyDescent="0.2">
      <c r="A14" s="393" t="s">
        <v>217</v>
      </c>
      <c r="B14" s="393"/>
      <c r="C14" s="393"/>
      <c r="D14" s="393"/>
      <c r="E14" s="176">
        <f>K14</f>
        <v>10.45</v>
      </c>
      <c r="F14" s="195">
        <f>E14</f>
        <v>10.45</v>
      </c>
      <c r="H14" s="196">
        <v>10.85</v>
      </c>
      <c r="I14" s="196">
        <v>10.039999999999999</v>
      </c>
      <c r="J14" s="196"/>
      <c r="K14" s="144">
        <f>ROUND((IF(AND(H14="",I14="",J14="")=TRUE,0,AVERAGE(H14:J14))),2)</f>
        <v>10.45</v>
      </c>
    </row>
    <row r="15" spans="1:11" s="143" customFormat="1" ht="25.5" customHeight="1" thickBot="1" x14ac:dyDescent="0.3">
      <c r="A15" s="373" t="s">
        <v>220</v>
      </c>
      <c r="B15" s="373"/>
      <c r="C15" s="373"/>
      <c r="D15" s="373"/>
      <c r="E15" s="235"/>
      <c r="F15" s="235"/>
      <c r="G15" s="235"/>
      <c r="H15" s="371"/>
      <c r="I15" s="371"/>
      <c r="J15" s="371"/>
      <c r="K15" s="371"/>
    </row>
    <row r="16" spans="1:11" ht="27" customHeight="1" thickTop="1" x14ac:dyDescent="0.2">
      <c r="A16" s="391"/>
      <c r="B16" s="391"/>
      <c r="C16" s="391"/>
      <c r="D16" s="392"/>
      <c r="E16" s="231" t="s">
        <v>203</v>
      </c>
      <c r="F16" s="232" t="s">
        <v>204</v>
      </c>
      <c r="H16" s="233" t="s">
        <v>153</v>
      </c>
      <c r="I16" s="233" t="s">
        <v>154</v>
      </c>
      <c r="J16" s="233" t="s">
        <v>155</v>
      </c>
      <c r="K16" s="233" t="s">
        <v>156</v>
      </c>
    </row>
    <row r="17" spans="1:11" ht="12.75" customHeight="1" x14ac:dyDescent="0.2">
      <c r="A17" s="393" t="s">
        <v>219</v>
      </c>
      <c r="B17" s="393"/>
      <c r="C17" s="393"/>
      <c r="D17" s="393"/>
      <c r="E17" s="176">
        <v>79.41</v>
      </c>
      <c r="F17" s="195">
        <f>E17</f>
        <v>79.41</v>
      </c>
      <c r="H17" s="196">
        <v>79.41</v>
      </c>
      <c r="I17" s="196"/>
      <c r="J17" s="196"/>
      <c r="K17" s="144">
        <f>ROUND((IF(AND(H17="",I17="",J17="")=TRUE,0,AVERAGE(H17:J17))),2)</f>
        <v>79.41</v>
      </c>
    </row>
    <row r="18" spans="1:11" s="143" customFormat="1" ht="25.5" customHeight="1" thickBot="1" x14ac:dyDescent="0.3">
      <c r="A18" s="373" t="s">
        <v>226</v>
      </c>
      <c r="B18" s="373"/>
      <c r="C18" s="373"/>
      <c r="D18" s="373"/>
      <c r="E18" s="235"/>
      <c r="F18" s="235"/>
      <c r="G18" s="235"/>
      <c r="H18" s="371"/>
      <c r="I18" s="371"/>
      <c r="J18" s="371"/>
      <c r="K18" s="371"/>
    </row>
    <row r="19" spans="1:11" s="218" customFormat="1" ht="24.75" thickTop="1" x14ac:dyDescent="0.2">
      <c r="A19" s="236" t="s">
        <v>7</v>
      </c>
      <c r="B19" s="236" t="s">
        <v>234</v>
      </c>
      <c r="C19" s="236" t="s">
        <v>275</v>
      </c>
      <c r="D19" s="236" t="s">
        <v>224</v>
      </c>
      <c r="E19" s="236" t="s">
        <v>225</v>
      </c>
      <c r="F19" s="236" t="s">
        <v>274</v>
      </c>
      <c r="G19" s="217"/>
      <c r="H19" s="237" t="s">
        <v>153</v>
      </c>
      <c r="I19" s="237" t="s">
        <v>154</v>
      </c>
      <c r="J19" s="237" t="s">
        <v>155</v>
      </c>
      <c r="K19" s="233" t="s">
        <v>156</v>
      </c>
    </row>
    <row r="20" spans="1:11" s="218" customFormat="1" ht="102" x14ac:dyDescent="0.2">
      <c r="A20" s="229">
        <v>1</v>
      </c>
      <c r="B20" s="219" t="s">
        <v>227</v>
      </c>
      <c r="C20" s="220">
        <v>2</v>
      </c>
      <c r="D20" s="221">
        <v>6</v>
      </c>
      <c r="E20" s="227">
        <v>192.25</v>
      </c>
      <c r="F20" s="253">
        <f>ROUND(((C20*E20)/D20),2)</f>
        <v>64.08</v>
      </c>
      <c r="G20" s="217"/>
      <c r="H20" s="222">
        <v>163.76</v>
      </c>
      <c r="I20" s="222">
        <v>205</v>
      </c>
      <c r="J20" s="222">
        <v>208</v>
      </c>
      <c r="K20" s="251">
        <f>ROUND((IF(AND(H20="",I20="",J20="")=TRUE,0,AVERAGE(H20:J20))),2)</f>
        <v>192.25</v>
      </c>
    </row>
    <row r="21" spans="1:11" s="218" customFormat="1" ht="89.25" x14ac:dyDescent="0.2">
      <c r="A21" s="230">
        <v>2</v>
      </c>
      <c r="B21" s="223" t="s">
        <v>228</v>
      </c>
      <c r="C21" s="224">
        <v>2</v>
      </c>
      <c r="D21" s="225">
        <v>6</v>
      </c>
      <c r="E21" s="227">
        <v>177.33</v>
      </c>
      <c r="F21" s="254">
        <f t="shared" ref="F21:F26" si="0">ROUND(((C21*E21)/D21),2)</f>
        <v>59.11</v>
      </c>
      <c r="G21" s="217"/>
      <c r="H21" s="226">
        <v>182.5</v>
      </c>
      <c r="I21" s="226">
        <v>180</v>
      </c>
      <c r="J21" s="226">
        <v>169.5</v>
      </c>
      <c r="K21" s="252">
        <f t="shared" ref="K21:K22" si="1">ROUND((IF(AND(H21="",I21="",J21="")=TRUE,0,AVERAGE(H21:J21))),2)</f>
        <v>177.33</v>
      </c>
    </row>
    <row r="22" spans="1:11" s="218" customFormat="1" ht="25.5" x14ac:dyDescent="0.2">
      <c r="A22" s="229">
        <v>3</v>
      </c>
      <c r="B22" s="219" t="s">
        <v>229</v>
      </c>
      <c r="C22" s="220">
        <v>1</v>
      </c>
      <c r="D22" s="221">
        <v>6</v>
      </c>
      <c r="E22" s="227">
        <v>20</v>
      </c>
      <c r="F22" s="253">
        <f t="shared" si="0"/>
        <v>3.33</v>
      </c>
      <c r="G22" s="217"/>
      <c r="H22" s="222">
        <v>20</v>
      </c>
      <c r="I22" s="222">
        <v>15</v>
      </c>
      <c r="J22" s="222">
        <v>25</v>
      </c>
      <c r="K22" s="251">
        <f t="shared" si="1"/>
        <v>20</v>
      </c>
    </row>
    <row r="23" spans="1:11" s="218" customFormat="1" x14ac:dyDescent="0.2">
      <c r="A23" s="230">
        <v>4</v>
      </c>
      <c r="B23" s="223" t="s">
        <v>230</v>
      </c>
      <c r="C23" s="224">
        <v>2</v>
      </c>
      <c r="D23" s="225">
        <v>6</v>
      </c>
      <c r="E23" s="227">
        <v>33.200000000000003</v>
      </c>
      <c r="F23" s="254">
        <f t="shared" si="0"/>
        <v>11.07</v>
      </c>
      <c r="G23" s="217"/>
      <c r="H23" s="226">
        <v>34.96</v>
      </c>
      <c r="I23" s="226">
        <v>36.64</v>
      </c>
      <c r="J23" s="226">
        <v>28</v>
      </c>
      <c r="K23" s="252">
        <f t="shared" ref="K23:K26" si="2">ROUND((IF(AND(H23="",I23="",J23="")=TRUE,0,AVERAGE(H23:J23))),2)</f>
        <v>33.200000000000003</v>
      </c>
    </row>
    <row r="24" spans="1:11" ht="63.75" x14ac:dyDescent="0.2">
      <c r="A24" s="229">
        <v>5</v>
      </c>
      <c r="B24" s="219" t="s">
        <v>231</v>
      </c>
      <c r="C24" s="220">
        <v>1</v>
      </c>
      <c r="D24" s="221">
        <v>6</v>
      </c>
      <c r="E24" s="227">
        <v>192.35</v>
      </c>
      <c r="F24" s="253">
        <f t="shared" si="0"/>
        <v>32.06</v>
      </c>
      <c r="G24" s="217"/>
      <c r="H24" s="222">
        <v>197.05</v>
      </c>
      <c r="I24" s="222">
        <v>190</v>
      </c>
      <c r="J24" s="222">
        <v>190</v>
      </c>
      <c r="K24" s="251">
        <f t="shared" si="2"/>
        <v>192.35</v>
      </c>
    </row>
    <row r="25" spans="1:11" ht="25.5" x14ac:dyDescent="0.2">
      <c r="A25" s="230">
        <v>6</v>
      </c>
      <c r="B25" s="223" t="s">
        <v>232</v>
      </c>
      <c r="C25" s="224">
        <v>2</v>
      </c>
      <c r="D25" s="225">
        <v>6</v>
      </c>
      <c r="E25" s="227">
        <v>38.9</v>
      </c>
      <c r="F25" s="254">
        <f t="shared" si="0"/>
        <v>12.97</v>
      </c>
      <c r="G25" s="217"/>
      <c r="H25" s="226">
        <v>34.9</v>
      </c>
      <c r="I25" s="226">
        <v>41.9</v>
      </c>
      <c r="J25" s="226">
        <v>39.9</v>
      </c>
      <c r="K25" s="252">
        <f t="shared" si="2"/>
        <v>38.9</v>
      </c>
    </row>
    <row r="26" spans="1:11" ht="39" thickBot="1" x14ac:dyDescent="0.25">
      <c r="A26" s="229">
        <v>7</v>
      </c>
      <c r="B26" s="219" t="s">
        <v>233</v>
      </c>
      <c r="C26" s="220">
        <v>1</v>
      </c>
      <c r="D26" s="221">
        <v>12</v>
      </c>
      <c r="E26" s="227">
        <v>248.33</v>
      </c>
      <c r="F26" s="253">
        <f t="shared" si="0"/>
        <v>20.69</v>
      </c>
      <c r="G26" s="217"/>
      <c r="H26" s="222">
        <v>261</v>
      </c>
      <c r="I26" s="222">
        <v>250</v>
      </c>
      <c r="J26" s="222">
        <v>234</v>
      </c>
      <c r="K26" s="251">
        <f t="shared" si="2"/>
        <v>248.33</v>
      </c>
    </row>
    <row r="27" spans="1:11" ht="13.5" thickBot="1" x14ac:dyDescent="0.25">
      <c r="A27" s="228"/>
      <c r="B27" s="238"/>
      <c r="C27" s="239"/>
      <c r="D27" s="240"/>
      <c r="E27" s="243" t="s">
        <v>267</v>
      </c>
      <c r="F27" s="255">
        <f>SUM(F20:F26)</f>
        <v>203.31</v>
      </c>
      <c r="G27" s="217"/>
      <c r="H27" s="241"/>
      <c r="I27" s="241"/>
      <c r="J27" s="241"/>
      <c r="K27" s="242"/>
    </row>
    <row r="28" spans="1:11" s="143" customFormat="1" ht="25.5" customHeight="1" thickBot="1" x14ac:dyDescent="0.3">
      <c r="A28" s="374" t="s">
        <v>268</v>
      </c>
      <c r="B28" s="374"/>
      <c r="C28" s="374"/>
      <c r="D28" s="374"/>
      <c r="E28" s="244"/>
      <c r="F28" s="244"/>
      <c r="G28" s="244"/>
      <c r="H28" s="375"/>
      <c r="I28" s="375"/>
      <c r="J28" s="375"/>
      <c r="K28" s="375"/>
    </row>
    <row r="29" spans="1:11" s="218" customFormat="1" ht="24.75" thickTop="1" x14ac:dyDescent="0.2">
      <c r="A29" s="236" t="s">
        <v>7</v>
      </c>
      <c r="B29" s="236" t="s">
        <v>234</v>
      </c>
      <c r="C29" s="236" t="s">
        <v>275</v>
      </c>
      <c r="D29" s="236" t="s">
        <v>269</v>
      </c>
      <c r="E29" s="236" t="s">
        <v>225</v>
      </c>
      <c r="F29" s="236" t="s">
        <v>274</v>
      </c>
      <c r="G29" s="217"/>
      <c r="H29" s="237" t="s">
        <v>153</v>
      </c>
      <c r="I29" s="237" t="s">
        <v>154</v>
      </c>
      <c r="J29" s="237" t="s">
        <v>155</v>
      </c>
      <c r="K29" s="233" t="s">
        <v>156</v>
      </c>
    </row>
    <row r="30" spans="1:11" s="218" customFormat="1" ht="102" x14ac:dyDescent="0.2">
      <c r="A30" s="229">
        <v>1</v>
      </c>
      <c r="B30" s="219" t="s">
        <v>227</v>
      </c>
      <c r="C30" s="220">
        <v>1</v>
      </c>
      <c r="D30" s="221" t="s">
        <v>270</v>
      </c>
      <c r="E30" s="227">
        <v>192.25</v>
      </c>
      <c r="F30" s="253">
        <f>C30*E30</f>
        <v>192.25</v>
      </c>
      <c r="G30" s="217"/>
      <c r="H30" s="222">
        <v>163.76</v>
      </c>
      <c r="I30" s="222">
        <v>205</v>
      </c>
      <c r="J30" s="222">
        <v>208</v>
      </c>
      <c r="K30" s="251">
        <f>ROUND((IF(AND(H30="",I30="",J30="")=TRUE,0,AVERAGE(H30:J30))),2)</f>
        <v>192.25</v>
      </c>
    </row>
    <row r="31" spans="1:11" s="218" customFormat="1" ht="89.25" x14ac:dyDescent="0.2">
      <c r="A31" s="230">
        <v>2</v>
      </c>
      <c r="B31" s="223" t="s">
        <v>228</v>
      </c>
      <c r="C31" s="224">
        <v>1</v>
      </c>
      <c r="D31" s="225" t="s">
        <v>270</v>
      </c>
      <c r="E31" s="227">
        <v>177.33</v>
      </c>
      <c r="F31" s="254">
        <f>C31*E31</f>
        <v>177.33</v>
      </c>
      <c r="G31" s="217"/>
      <c r="H31" s="226">
        <v>182.5</v>
      </c>
      <c r="I31" s="226">
        <v>180</v>
      </c>
      <c r="J31" s="226">
        <v>169.5</v>
      </c>
      <c r="K31" s="252">
        <f t="shared" ref="K31:K36" si="3">ROUND((IF(AND(H31="",I31="",J31="")=TRUE,0,AVERAGE(H31:J31))),2)</f>
        <v>177.33</v>
      </c>
    </row>
    <row r="32" spans="1:11" s="218" customFormat="1" ht="25.5" x14ac:dyDescent="0.2">
      <c r="A32" s="229">
        <v>3</v>
      </c>
      <c r="B32" s="219" t="s">
        <v>229</v>
      </c>
      <c r="C32" s="220">
        <v>1</v>
      </c>
      <c r="D32" s="221" t="s">
        <v>270</v>
      </c>
      <c r="E32" s="227">
        <v>20</v>
      </c>
      <c r="F32" s="253">
        <f t="shared" ref="F32:F36" si="4">C32*E32</f>
        <v>20</v>
      </c>
      <c r="G32" s="217"/>
      <c r="H32" s="222">
        <v>20</v>
      </c>
      <c r="I32" s="222">
        <v>15</v>
      </c>
      <c r="J32" s="222">
        <v>25</v>
      </c>
      <c r="K32" s="251">
        <f t="shared" si="3"/>
        <v>20</v>
      </c>
    </row>
    <row r="33" spans="1:11" s="218" customFormat="1" x14ac:dyDescent="0.2">
      <c r="A33" s="230">
        <v>4</v>
      </c>
      <c r="B33" s="223" t="s">
        <v>230</v>
      </c>
      <c r="C33" s="224">
        <v>1</v>
      </c>
      <c r="D33" s="225" t="s">
        <v>270</v>
      </c>
      <c r="E33" s="227">
        <v>33.200000000000003</v>
      </c>
      <c r="F33" s="254">
        <f t="shared" si="4"/>
        <v>33.200000000000003</v>
      </c>
      <c r="G33" s="217"/>
      <c r="H33" s="226">
        <v>34.96</v>
      </c>
      <c r="I33" s="226">
        <v>36.64</v>
      </c>
      <c r="J33" s="226">
        <v>28</v>
      </c>
      <c r="K33" s="252">
        <f t="shared" si="3"/>
        <v>33.200000000000003</v>
      </c>
    </row>
    <row r="34" spans="1:11" ht="63.75" x14ac:dyDescent="0.2">
      <c r="A34" s="229">
        <v>5</v>
      </c>
      <c r="B34" s="219" t="s">
        <v>231</v>
      </c>
      <c r="C34" s="220">
        <v>1</v>
      </c>
      <c r="D34" s="221" t="s">
        <v>270</v>
      </c>
      <c r="E34" s="227">
        <v>192.35</v>
      </c>
      <c r="F34" s="253">
        <f t="shared" si="4"/>
        <v>192.35</v>
      </c>
      <c r="G34" s="217"/>
      <c r="H34" s="222">
        <v>197.05</v>
      </c>
      <c r="I34" s="222">
        <v>190</v>
      </c>
      <c r="J34" s="222">
        <v>190</v>
      </c>
      <c r="K34" s="251">
        <f t="shared" si="3"/>
        <v>192.35</v>
      </c>
    </row>
    <row r="35" spans="1:11" ht="25.5" x14ac:dyDescent="0.2">
      <c r="A35" s="230">
        <v>6</v>
      </c>
      <c r="B35" s="223" t="s">
        <v>232</v>
      </c>
      <c r="C35" s="224">
        <v>1</v>
      </c>
      <c r="D35" s="225" t="s">
        <v>270</v>
      </c>
      <c r="E35" s="227">
        <v>38.9</v>
      </c>
      <c r="F35" s="254">
        <f t="shared" si="4"/>
        <v>38.9</v>
      </c>
      <c r="G35" s="217"/>
      <c r="H35" s="226">
        <v>34.9</v>
      </c>
      <c r="I35" s="226">
        <v>41.9</v>
      </c>
      <c r="J35" s="226">
        <v>39.9</v>
      </c>
      <c r="K35" s="252">
        <f t="shared" si="3"/>
        <v>38.9</v>
      </c>
    </row>
    <row r="36" spans="1:11" ht="39" thickBot="1" x14ac:dyDescent="0.25">
      <c r="A36" s="229">
        <v>7</v>
      </c>
      <c r="B36" s="219" t="s">
        <v>233</v>
      </c>
      <c r="C36" s="220">
        <v>1</v>
      </c>
      <c r="D36" s="221" t="s">
        <v>270</v>
      </c>
      <c r="E36" s="227">
        <v>248.33</v>
      </c>
      <c r="F36" s="253">
        <f t="shared" si="4"/>
        <v>248.33</v>
      </c>
      <c r="G36" s="217"/>
      <c r="H36" s="222">
        <v>261</v>
      </c>
      <c r="I36" s="222">
        <v>250</v>
      </c>
      <c r="J36" s="222">
        <v>234</v>
      </c>
      <c r="K36" s="251">
        <f t="shared" si="3"/>
        <v>248.33</v>
      </c>
    </row>
    <row r="37" spans="1:11" ht="13.5" thickBot="1" x14ac:dyDescent="0.25">
      <c r="A37" s="228"/>
      <c r="B37" s="238"/>
      <c r="C37" s="239"/>
      <c r="D37" s="240"/>
      <c r="E37" s="243" t="s">
        <v>267</v>
      </c>
      <c r="F37" s="255">
        <f>SUM(F30:F36)</f>
        <v>902.36</v>
      </c>
      <c r="G37" s="217"/>
      <c r="H37" s="241"/>
      <c r="I37" s="241"/>
      <c r="J37" s="241"/>
      <c r="K37" s="242"/>
    </row>
    <row r="38" spans="1:11" ht="25.5" customHeight="1" thickBot="1" x14ac:dyDescent="0.3">
      <c r="A38" s="373" t="s">
        <v>272</v>
      </c>
      <c r="B38" s="373"/>
      <c r="C38" s="373"/>
      <c r="D38" s="373"/>
      <c r="E38" s="235"/>
      <c r="F38" s="235"/>
      <c r="G38" s="235"/>
      <c r="H38" s="371"/>
      <c r="I38" s="371"/>
      <c r="J38" s="371"/>
      <c r="K38" s="371"/>
    </row>
    <row r="39" spans="1:11" ht="24.75" thickTop="1" x14ac:dyDescent="0.2">
      <c r="A39" s="236" t="s">
        <v>235</v>
      </c>
      <c r="B39" s="236" t="s">
        <v>234</v>
      </c>
      <c r="C39" s="236" t="s">
        <v>196</v>
      </c>
      <c r="D39" s="236" t="s">
        <v>271</v>
      </c>
      <c r="E39" s="236" t="s">
        <v>225</v>
      </c>
      <c r="F39" s="236" t="s">
        <v>274</v>
      </c>
      <c r="G39" s="217"/>
      <c r="H39" s="237" t="s">
        <v>153</v>
      </c>
      <c r="I39" s="237" t="s">
        <v>154</v>
      </c>
      <c r="J39" s="237" t="s">
        <v>155</v>
      </c>
      <c r="K39" s="233" t="s">
        <v>156</v>
      </c>
    </row>
    <row r="40" spans="1:11" ht="63.75" x14ac:dyDescent="0.2">
      <c r="A40" s="248">
        <v>1</v>
      </c>
      <c r="B40" s="247" t="s">
        <v>236</v>
      </c>
      <c r="C40" s="248">
        <v>1</v>
      </c>
      <c r="D40" s="245">
        <v>30</v>
      </c>
      <c r="E40" s="227">
        <v>137.44</v>
      </c>
      <c r="F40" s="253">
        <f t="shared" ref="F40:F70" si="5">ROUND(((C40*E40)/D40),2)</f>
        <v>4.58</v>
      </c>
      <c r="G40" s="217"/>
      <c r="H40" s="222">
        <v>158.15</v>
      </c>
      <c r="I40" s="222">
        <v>127.09</v>
      </c>
      <c r="J40" s="222">
        <v>127.09</v>
      </c>
      <c r="K40" s="251">
        <f t="shared" ref="K40:K41" si="6">ROUND((IF(AND(H40="",I40="",J40="")=TRUE,0,AVERAGE(H40:J40))),2)</f>
        <v>137.44</v>
      </c>
    </row>
    <row r="41" spans="1:11" ht="38.25" x14ac:dyDescent="0.2">
      <c r="A41" s="249">
        <v>2</v>
      </c>
      <c r="B41" s="250" t="s">
        <v>237</v>
      </c>
      <c r="C41" s="249">
        <v>1</v>
      </c>
      <c r="D41" s="246">
        <v>30</v>
      </c>
      <c r="E41" s="227">
        <v>23</v>
      </c>
      <c r="F41" s="254">
        <f t="shared" si="5"/>
        <v>0.77</v>
      </c>
      <c r="G41" s="217"/>
      <c r="H41" s="226">
        <v>19.5</v>
      </c>
      <c r="I41" s="226">
        <v>21.99</v>
      </c>
      <c r="J41" s="226">
        <v>27.51</v>
      </c>
      <c r="K41" s="252">
        <f t="shared" si="6"/>
        <v>23</v>
      </c>
    </row>
    <row r="42" spans="1:11" ht="63.75" x14ac:dyDescent="0.2">
      <c r="A42" s="248">
        <v>3</v>
      </c>
      <c r="B42" s="247" t="s">
        <v>238</v>
      </c>
      <c r="C42" s="248">
        <v>1</v>
      </c>
      <c r="D42" s="245">
        <v>30</v>
      </c>
      <c r="E42" s="227">
        <v>143.55000000000001</v>
      </c>
      <c r="F42" s="253">
        <f t="shared" si="5"/>
        <v>4.79</v>
      </c>
      <c r="G42" s="217"/>
      <c r="H42" s="222">
        <v>123.9</v>
      </c>
      <c r="I42" s="222">
        <v>150</v>
      </c>
      <c r="J42" s="222">
        <v>156.75</v>
      </c>
      <c r="K42" s="251">
        <f t="shared" ref="K42:K70" si="7">ROUND((IF(AND(H42="",I42="",J42="")=TRUE,0,AVERAGE(H42:J42))),2)</f>
        <v>143.55000000000001</v>
      </c>
    </row>
    <row r="43" spans="1:11" x14ac:dyDescent="0.2">
      <c r="A43" s="249">
        <v>4</v>
      </c>
      <c r="B43" s="250" t="s">
        <v>239</v>
      </c>
      <c r="C43" s="249">
        <v>1</v>
      </c>
      <c r="D43" s="246">
        <v>30</v>
      </c>
      <c r="E43" s="227">
        <v>6.36</v>
      </c>
      <c r="F43" s="254">
        <f t="shared" si="5"/>
        <v>0.21</v>
      </c>
      <c r="G43" s="217"/>
      <c r="H43" s="226">
        <v>5.74</v>
      </c>
      <c r="I43" s="226">
        <v>7.72</v>
      </c>
      <c r="J43" s="226">
        <v>5.62</v>
      </c>
      <c r="K43" s="252">
        <f t="shared" si="7"/>
        <v>6.36</v>
      </c>
    </row>
    <row r="44" spans="1:11" ht="25.5" x14ac:dyDescent="0.2">
      <c r="A44" s="248">
        <v>5</v>
      </c>
      <c r="B44" s="247" t="s">
        <v>240</v>
      </c>
      <c r="C44" s="248">
        <v>1</v>
      </c>
      <c r="D44" s="245">
        <v>30</v>
      </c>
      <c r="E44" s="227">
        <v>14.41</v>
      </c>
      <c r="F44" s="253">
        <f t="shared" si="5"/>
        <v>0.48</v>
      </c>
      <c r="G44" s="217"/>
      <c r="H44" s="222">
        <v>13.33</v>
      </c>
      <c r="I44" s="222">
        <v>16.8</v>
      </c>
      <c r="J44" s="222">
        <v>13.11</v>
      </c>
      <c r="K44" s="251">
        <f t="shared" si="7"/>
        <v>14.41</v>
      </c>
    </row>
    <row r="45" spans="1:11" ht="76.5" x14ac:dyDescent="0.2">
      <c r="A45" s="249">
        <v>6</v>
      </c>
      <c r="B45" s="250" t="s">
        <v>241</v>
      </c>
      <c r="C45" s="249">
        <v>1</v>
      </c>
      <c r="D45" s="246">
        <v>30</v>
      </c>
      <c r="E45" s="227">
        <v>376.53</v>
      </c>
      <c r="F45" s="254">
        <f t="shared" si="5"/>
        <v>12.55</v>
      </c>
      <c r="G45" s="217"/>
      <c r="H45" s="226">
        <v>377.6</v>
      </c>
      <c r="I45" s="226">
        <v>402</v>
      </c>
      <c r="J45" s="226">
        <v>350</v>
      </c>
      <c r="K45" s="252">
        <f t="shared" si="7"/>
        <v>376.53</v>
      </c>
    </row>
    <row r="46" spans="1:11" ht="89.25" x14ac:dyDescent="0.2">
      <c r="A46" s="248">
        <v>7</v>
      </c>
      <c r="B46" s="247" t="s">
        <v>242</v>
      </c>
      <c r="C46" s="248">
        <v>1</v>
      </c>
      <c r="D46" s="245">
        <v>30</v>
      </c>
      <c r="E46" s="227">
        <v>34.93</v>
      </c>
      <c r="F46" s="253">
        <f t="shared" si="5"/>
        <v>1.1599999999999999</v>
      </c>
      <c r="G46" s="217"/>
      <c r="H46" s="222">
        <v>35</v>
      </c>
      <c r="I46" s="222">
        <v>30</v>
      </c>
      <c r="J46" s="222">
        <v>39.799999999999997</v>
      </c>
      <c r="K46" s="251">
        <f t="shared" si="7"/>
        <v>34.93</v>
      </c>
    </row>
    <row r="47" spans="1:11" ht="102" x14ac:dyDescent="0.2">
      <c r="A47" s="249">
        <v>8</v>
      </c>
      <c r="B47" s="250" t="s">
        <v>243</v>
      </c>
      <c r="C47" s="249">
        <v>1</v>
      </c>
      <c r="D47" s="246">
        <v>30</v>
      </c>
      <c r="E47" s="227">
        <v>54.54</v>
      </c>
      <c r="F47" s="254">
        <f t="shared" si="5"/>
        <v>1.82</v>
      </c>
      <c r="G47" s="217"/>
      <c r="H47" s="226">
        <v>48.96</v>
      </c>
      <c r="I47" s="226">
        <v>48.99</v>
      </c>
      <c r="J47" s="226">
        <v>65.66</v>
      </c>
      <c r="K47" s="252">
        <f t="shared" si="7"/>
        <v>54.54</v>
      </c>
    </row>
    <row r="48" spans="1:11" x14ac:dyDescent="0.2">
      <c r="A48" s="248">
        <v>9</v>
      </c>
      <c r="B48" s="247" t="s">
        <v>244</v>
      </c>
      <c r="C48" s="248">
        <v>1</v>
      </c>
      <c r="D48" s="245">
        <v>30</v>
      </c>
      <c r="E48" s="227">
        <v>668.58</v>
      </c>
      <c r="F48" s="253">
        <f t="shared" si="5"/>
        <v>22.29</v>
      </c>
      <c r="G48" s="217"/>
      <c r="H48" s="222">
        <v>633.65</v>
      </c>
      <c r="I48" s="222">
        <v>682.1</v>
      </c>
      <c r="J48" s="222">
        <v>690</v>
      </c>
      <c r="K48" s="251">
        <f t="shared" si="7"/>
        <v>668.58</v>
      </c>
    </row>
    <row r="49" spans="1:11" x14ac:dyDescent="0.2">
      <c r="A49" s="249">
        <v>10</v>
      </c>
      <c r="B49" s="250" t="s">
        <v>245</v>
      </c>
      <c r="C49" s="249">
        <v>1</v>
      </c>
      <c r="D49" s="246">
        <v>30</v>
      </c>
      <c r="E49" s="227">
        <v>20.170000000000002</v>
      </c>
      <c r="F49" s="254">
        <f t="shared" si="5"/>
        <v>0.67</v>
      </c>
      <c r="G49" s="217"/>
      <c r="H49" s="226">
        <v>22.48</v>
      </c>
      <c r="I49" s="226">
        <v>21.12</v>
      </c>
      <c r="J49" s="226">
        <v>16.899999999999999</v>
      </c>
      <c r="K49" s="252">
        <f t="shared" si="7"/>
        <v>20.170000000000002</v>
      </c>
    </row>
    <row r="50" spans="1:11" x14ac:dyDescent="0.2">
      <c r="A50" s="248">
        <v>11</v>
      </c>
      <c r="B50" s="247" t="s">
        <v>246</v>
      </c>
      <c r="C50" s="248">
        <v>1</v>
      </c>
      <c r="D50" s="245">
        <v>30</v>
      </c>
      <c r="E50" s="227">
        <v>76.47</v>
      </c>
      <c r="F50" s="253">
        <f t="shared" si="5"/>
        <v>2.5499999999999998</v>
      </c>
      <c r="G50" s="217"/>
      <c r="H50" s="222">
        <v>68.09</v>
      </c>
      <c r="I50" s="222">
        <v>76.319999999999993</v>
      </c>
      <c r="J50" s="222">
        <v>85</v>
      </c>
      <c r="K50" s="251">
        <f t="shared" si="7"/>
        <v>76.47</v>
      </c>
    </row>
    <row r="51" spans="1:11" x14ac:dyDescent="0.2">
      <c r="A51" s="249">
        <v>12</v>
      </c>
      <c r="B51" s="250" t="s">
        <v>247</v>
      </c>
      <c r="C51" s="249">
        <v>1</v>
      </c>
      <c r="D51" s="246">
        <v>30</v>
      </c>
      <c r="E51" s="227">
        <v>57.3</v>
      </c>
      <c r="F51" s="254">
        <f t="shared" si="5"/>
        <v>1.91</v>
      </c>
      <c r="G51" s="217"/>
      <c r="H51" s="226">
        <v>53.49</v>
      </c>
      <c r="I51" s="226">
        <v>59.9</v>
      </c>
      <c r="J51" s="226">
        <v>58.52</v>
      </c>
      <c r="K51" s="252">
        <f t="shared" si="7"/>
        <v>57.3</v>
      </c>
    </row>
    <row r="52" spans="1:11" ht="63.75" x14ac:dyDescent="0.2">
      <c r="A52" s="248">
        <v>13</v>
      </c>
      <c r="B52" s="247" t="s">
        <v>248</v>
      </c>
      <c r="C52" s="248">
        <v>1</v>
      </c>
      <c r="D52" s="245">
        <v>30</v>
      </c>
      <c r="E52" s="227">
        <v>161.1</v>
      </c>
      <c r="F52" s="253">
        <f t="shared" si="5"/>
        <v>5.37</v>
      </c>
      <c r="G52" s="217"/>
      <c r="H52" s="222">
        <v>138.4</v>
      </c>
      <c r="I52" s="222">
        <v>159.88999999999999</v>
      </c>
      <c r="J52" s="222">
        <v>185</v>
      </c>
      <c r="K52" s="251">
        <f t="shared" si="7"/>
        <v>161.1</v>
      </c>
    </row>
    <row r="53" spans="1:11" x14ac:dyDescent="0.2">
      <c r="A53" s="249">
        <v>14</v>
      </c>
      <c r="B53" s="250" t="s">
        <v>249</v>
      </c>
      <c r="C53" s="249">
        <v>1</v>
      </c>
      <c r="D53" s="246">
        <v>30</v>
      </c>
      <c r="E53" s="227">
        <v>53.36</v>
      </c>
      <c r="F53" s="254">
        <f t="shared" si="5"/>
        <v>1.78</v>
      </c>
      <c r="G53" s="217"/>
      <c r="H53" s="226">
        <v>48.9</v>
      </c>
      <c r="I53" s="226">
        <v>55.99</v>
      </c>
      <c r="J53" s="226">
        <v>55.2</v>
      </c>
      <c r="K53" s="252">
        <f t="shared" si="7"/>
        <v>53.36</v>
      </c>
    </row>
    <row r="54" spans="1:11" ht="38.25" x14ac:dyDescent="0.2">
      <c r="A54" s="248">
        <v>15</v>
      </c>
      <c r="B54" s="247" t="s">
        <v>250</v>
      </c>
      <c r="C54" s="248">
        <v>1</v>
      </c>
      <c r="D54" s="245">
        <v>30</v>
      </c>
      <c r="E54" s="227">
        <v>82.17</v>
      </c>
      <c r="F54" s="253">
        <f t="shared" si="5"/>
        <v>2.74</v>
      </c>
      <c r="G54" s="217"/>
      <c r="H54" s="222">
        <v>73.61</v>
      </c>
      <c r="I54" s="222">
        <v>83</v>
      </c>
      <c r="J54" s="222">
        <v>89.9</v>
      </c>
      <c r="K54" s="251">
        <f t="shared" si="7"/>
        <v>82.17</v>
      </c>
    </row>
    <row r="55" spans="1:11" x14ac:dyDescent="0.2">
      <c r="A55" s="249">
        <v>16</v>
      </c>
      <c r="B55" s="250" t="s">
        <v>251</v>
      </c>
      <c r="C55" s="249">
        <v>1</v>
      </c>
      <c r="D55" s="246">
        <v>30</v>
      </c>
      <c r="E55" s="227">
        <v>23.58</v>
      </c>
      <c r="F55" s="254">
        <f t="shared" si="5"/>
        <v>0.79</v>
      </c>
      <c r="G55" s="217"/>
      <c r="H55" s="226">
        <v>23.8</v>
      </c>
      <c r="I55" s="226">
        <v>19.399999999999999</v>
      </c>
      <c r="J55" s="226">
        <v>27.53</v>
      </c>
      <c r="K55" s="252">
        <f t="shared" si="7"/>
        <v>23.58</v>
      </c>
    </row>
    <row r="56" spans="1:11" x14ac:dyDescent="0.2">
      <c r="A56" s="248">
        <v>17</v>
      </c>
      <c r="B56" s="247" t="s">
        <v>252</v>
      </c>
      <c r="C56" s="248">
        <v>1</v>
      </c>
      <c r="D56" s="245">
        <v>30</v>
      </c>
      <c r="E56" s="227">
        <v>20.65</v>
      </c>
      <c r="F56" s="253">
        <f t="shared" si="5"/>
        <v>0.69</v>
      </c>
      <c r="G56" s="217"/>
      <c r="H56" s="222">
        <v>20.5</v>
      </c>
      <c r="I56" s="222">
        <v>20.5</v>
      </c>
      <c r="J56" s="222">
        <v>20.95</v>
      </c>
      <c r="K56" s="251">
        <f t="shared" si="7"/>
        <v>20.65</v>
      </c>
    </row>
    <row r="57" spans="1:11" ht="12.75" customHeight="1" x14ac:dyDescent="0.2">
      <c r="A57" s="249">
        <v>18</v>
      </c>
      <c r="B57" s="250" t="s">
        <v>253</v>
      </c>
      <c r="C57" s="249">
        <v>1</v>
      </c>
      <c r="D57" s="246">
        <v>30</v>
      </c>
      <c r="E57" s="227">
        <v>20.440000000000001</v>
      </c>
      <c r="F57" s="254">
        <f t="shared" si="5"/>
        <v>0.68</v>
      </c>
      <c r="G57" s="217"/>
      <c r="H57" s="226">
        <v>20</v>
      </c>
      <c r="I57" s="226">
        <v>21</v>
      </c>
      <c r="J57" s="226">
        <v>20.32</v>
      </c>
      <c r="K57" s="252">
        <f t="shared" si="7"/>
        <v>20.440000000000001</v>
      </c>
    </row>
    <row r="58" spans="1:11" x14ac:dyDescent="0.2">
      <c r="A58" s="248">
        <v>19</v>
      </c>
      <c r="B58" s="247" t="s">
        <v>254</v>
      </c>
      <c r="C58" s="248">
        <v>1</v>
      </c>
      <c r="D58" s="245">
        <v>30</v>
      </c>
      <c r="E58" s="227">
        <v>90.22</v>
      </c>
      <c r="F58" s="253">
        <f t="shared" si="5"/>
        <v>3.01</v>
      </c>
      <c r="G58" s="217"/>
      <c r="H58" s="222">
        <v>96.3</v>
      </c>
      <c r="I58" s="222">
        <v>84.47</v>
      </c>
      <c r="J58" s="222">
        <v>89.9</v>
      </c>
      <c r="K58" s="251">
        <f t="shared" si="7"/>
        <v>90.22</v>
      </c>
    </row>
    <row r="59" spans="1:11" x14ac:dyDescent="0.2">
      <c r="A59" s="249">
        <v>20</v>
      </c>
      <c r="B59" s="250" t="s">
        <v>255</v>
      </c>
      <c r="C59" s="249">
        <v>5</v>
      </c>
      <c r="D59" s="246">
        <v>30</v>
      </c>
      <c r="E59" s="227">
        <v>6.52</v>
      </c>
      <c r="F59" s="254">
        <f t="shared" si="5"/>
        <v>1.0900000000000001</v>
      </c>
      <c r="G59" s="217"/>
      <c r="H59" s="226">
        <v>5.64</v>
      </c>
      <c r="I59" s="226">
        <v>7.26</v>
      </c>
      <c r="J59" s="226">
        <v>6.67</v>
      </c>
      <c r="K59" s="252">
        <f t="shared" si="7"/>
        <v>6.52</v>
      </c>
    </row>
    <row r="60" spans="1:11" x14ac:dyDescent="0.2">
      <c r="A60" s="248">
        <v>21</v>
      </c>
      <c r="B60" s="247" t="s">
        <v>256</v>
      </c>
      <c r="C60" s="248">
        <v>5</v>
      </c>
      <c r="D60" s="245">
        <v>30</v>
      </c>
      <c r="E60" s="227">
        <v>8.43</v>
      </c>
      <c r="F60" s="253">
        <f t="shared" si="5"/>
        <v>1.41</v>
      </c>
      <c r="G60" s="217"/>
      <c r="H60" s="222">
        <v>8.5</v>
      </c>
      <c r="I60" s="222">
        <v>8.1300000000000008</v>
      </c>
      <c r="J60" s="222">
        <v>8.65</v>
      </c>
      <c r="K60" s="251">
        <f t="shared" si="7"/>
        <v>8.43</v>
      </c>
    </row>
    <row r="61" spans="1:11" x14ac:dyDescent="0.2">
      <c r="A61" s="249">
        <v>22</v>
      </c>
      <c r="B61" s="250" t="s">
        <v>257</v>
      </c>
      <c r="C61" s="249">
        <v>1</v>
      </c>
      <c r="D61" s="246">
        <v>30</v>
      </c>
      <c r="E61" s="227">
        <v>54.8</v>
      </c>
      <c r="F61" s="254">
        <f t="shared" si="5"/>
        <v>1.83</v>
      </c>
      <c r="G61" s="217"/>
      <c r="H61" s="226">
        <v>49.5</v>
      </c>
      <c r="I61" s="226">
        <v>54.9</v>
      </c>
      <c r="J61" s="226">
        <v>60</v>
      </c>
      <c r="K61" s="252">
        <f t="shared" si="7"/>
        <v>54.8</v>
      </c>
    </row>
    <row r="62" spans="1:11" ht="63.75" x14ac:dyDescent="0.2">
      <c r="A62" s="248">
        <v>23</v>
      </c>
      <c r="B62" s="247" t="s">
        <v>258</v>
      </c>
      <c r="C62" s="248">
        <v>1</v>
      </c>
      <c r="D62" s="245">
        <v>30</v>
      </c>
      <c r="E62" s="227">
        <v>47.11</v>
      </c>
      <c r="F62" s="253">
        <f t="shared" si="5"/>
        <v>1.57</v>
      </c>
      <c r="G62" s="217"/>
      <c r="H62" s="222">
        <v>45.47</v>
      </c>
      <c r="I62" s="222">
        <v>51.9</v>
      </c>
      <c r="J62" s="222">
        <v>43.96</v>
      </c>
      <c r="K62" s="251">
        <f t="shared" si="7"/>
        <v>47.11</v>
      </c>
    </row>
    <row r="63" spans="1:11" x14ac:dyDescent="0.2">
      <c r="A63" s="249">
        <v>24</v>
      </c>
      <c r="B63" s="250" t="s">
        <v>259</v>
      </c>
      <c r="C63" s="249">
        <v>1</v>
      </c>
      <c r="D63" s="246">
        <v>30</v>
      </c>
      <c r="E63" s="227">
        <v>455.33</v>
      </c>
      <c r="F63" s="254">
        <f t="shared" si="5"/>
        <v>15.18</v>
      </c>
      <c r="G63" s="217"/>
      <c r="H63" s="226">
        <v>399</v>
      </c>
      <c r="I63" s="226">
        <v>535</v>
      </c>
      <c r="J63" s="226">
        <v>432</v>
      </c>
      <c r="K63" s="252">
        <f t="shared" si="7"/>
        <v>455.33</v>
      </c>
    </row>
    <row r="64" spans="1:11" ht="24" customHeight="1" x14ac:dyDescent="0.2">
      <c r="A64" s="248">
        <v>25</v>
      </c>
      <c r="B64" s="247" t="s">
        <v>260</v>
      </c>
      <c r="C64" s="248">
        <v>1</v>
      </c>
      <c r="D64" s="245">
        <v>30</v>
      </c>
      <c r="E64" s="227">
        <v>63.41</v>
      </c>
      <c r="F64" s="253">
        <f t="shared" si="5"/>
        <v>2.11</v>
      </c>
      <c r="G64" s="217"/>
      <c r="H64" s="222">
        <v>66.66</v>
      </c>
      <c r="I64" s="222">
        <v>61.46</v>
      </c>
      <c r="J64" s="222">
        <v>62.11</v>
      </c>
      <c r="K64" s="251">
        <f t="shared" si="7"/>
        <v>63.41</v>
      </c>
    </row>
    <row r="65" spans="1:11" ht="25.5" x14ac:dyDescent="0.2">
      <c r="A65" s="249">
        <v>26</v>
      </c>
      <c r="B65" s="250" t="s">
        <v>261</v>
      </c>
      <c r="C65" s="249">
        <v>1</v>
      </c>
      <c r="D65" s="246">
        <v>30</v>
      </c>
      <c r="E65" s="227">
        <v>3791.15</v>
      </c>
      <c r="F65" s="254">
        <f t="shared" si="5"/>
        <v>126.37</v>
      </c>
      <c r="G65" s="217"/>
      <c r="H65" s="226">
        <v>3624</v>
      </c>
      <c r="I65" s="226">
        <v>3535.95</v>
      </c>
      <c r="J65" s="226">
        <v>4213.5</v>
      </c>
      <c r="K65" s="252">
        <f t="shared" si="7"/>
        <v>3791.15</v>
      </c>
    </row>
    <row r="66" spans="1:11" x14ac:dyDescent="0.2">
      <c r="A66" s="248">
        <v>27</v>
      </c>
      <c r="B66" s="247" t="s">
        <v>262</v>
      </c>
      <c r="C66" s="248">
        <v>1</v>
      </c>
      <c r="D66" s="245">
        <v>30</v>
      </c>
      <c r="E66" s="227">
        <v>1049.97</v>
      </c>
      <c r="F66" s="253">
        <f t="shared" si="5"/>
        <v>35</v>
      </c>
      <c r="G66" s="217"/>
      <c r="H66" s="222">
        <v>1304.9000000000001</v>
      </c>
      <c r="I66" s="222">
        <v>950</v>
      </c>
      <c r="J66" s="222">
        <v>895</v>
      </c>
      <c r="K66" s="251">
        <f t="shared" si="7"/>
        <v>1049.97</v>
      </c>
    </row>
    <row r="67" spans="1:11" ht="76.5" x14ac:dyDescent="0.2">
      <c r="A67" s="249">
        <v>28</v>
      </c>
      <c r="B67" s="250" t="s">
        <v>263</v>
      </c>
      <c r="C67" s="249">
        <v>1</v>
      </c>
      <c r="D67" s="246">
        <v>30</v>
      </c>
      <c r="E67" s="227">
        <v>4</v>
      </c>
      <c r="F67" s="254">
        <f t="shared" si="5"/>
        <v>0.13</v>
      </c>
      <c r="G67" s="217"/>
      <c r="H67" s="226">
        <v>3.9</v>
      </c>
      <c r="I67" s="226">
        <v>4.6900000000000004</v>
      </c>
      <c r="J67" s="226">
        <v>3.41</v>
      </c>
      <c r="K67" s="252">
        <f t="shared" si="7"/>
        <v>4</v>
      </c>
    </row>
    <row r="68" spans="1:11" ht="117" customHeight="1" x14ac:dyDescent="0.2">
      <c r="A68" s="248">
        <v>29</v>
      </c>
      <c r="B68" s="247" t="s">
        <v>264</v>
      </c>
      <c r="C68" s="248">
        <v>1</v>
      </c>
      <c r="D68" s="245">
        <v>30</v>
      </c>
      <c r="E68" s="227">
        <v>6721.8</v>
      </c>
      <c r="F68" s="253">
        <f t="shared" si="5"/>
        <v>224.06</v>
      </c>
      <c r="G68" s="217"/>
      <c r="H68" s="222">
        <v>6350.15</v>
      </c>
      <c r="I68" s="222">
        <v>7380</v>
      </c>
      <c r="J68" s="222">
        <v>6435.25</v>
      </c>
      <c r="K68" s="251">
        <f t="shared" si="7"/>
        <v>6721.8</v>
      </c>
    </row>
    <row r="69" spans="1:11" ht="76.5" x14ac:dyDescent="0.2">
      <c r="A69" s="249">
        <v>30</v>
      </c>
      <c r="B69" s="250" t="s">
        <v>265</v>
      </c>
      <c r="C69" s="249">
        <v>1</v>
      </c>
      <c r="D69" s="246">
        <v>30</v>
      </c>
      <c r="E69" s="227">
        <v>1601.01</v>
      </c>
      <c r="F69" s="254">
        <f t="shared" si="5"/>
        <v>53.37</v>
      </c>
      <c r="G69" s="217"/>
      <c r="H69" s="226">
        <v>1587.13</v>
      </c>
      <c r="I69" s="226">
        <v>1776.89</v>
      </c>
      <c r="J69" s="226">
        <v>1439</v>
      </c>
      <c r="K69" s="252">
        <f t="shared" si="7"/>
        <v>1601.01</v>
      </c>
    </row>
    <row r="70" spans="1:11" ht="13.5" thickBot="1" x14ac:dyDescent="0.25">
      <c r="A70" s="248">
        <v>31</v>
      </c>
      <c r="B70" s="247" t="s">
        <v>266</v>
      </c>
      <c r="C70" s="248">
        <v>2</v>
      </c>
      <c r="D70" s="245">
        <v>30</v>
      </c>
      <c r="E70" s="227">
        <v>397.85</v>
      </c>
      <c r="F70" s="253">
        <f t="shared" si="5"/>
        <v>26.52</v>
      </c>
      <c r="G70" s="217"/>
      <c r="H70" s="222">
        <v>416.2</v>
      </c>
      <c r="I70" s="222">
        <v>415.16</v>
      </c>
      <c r="J70" s="222">
        <v>362.2</v>
      </c>
      <c r="K70" s="251">
        <f t="shared" si="7"/>
        <v>397.85</v>
      </c>
    </row>
    <row r="71" spans="1:11" ht="13.5" thickBot="1" x14ac:dyDescent="0.25">
      <c r="A71" s="256"/>
      <c r="B71" s="257"/>
      <c r="C71" s="256"/>
      <c r="D71" s="240"/>
      <c r="E71" s="243" t="s">
        <v>267</v>
      </c>
      <c r="F71" s="255">
        <f>SUM(F40:F70)</f>
        <v>557.48</v>
      </c>
      <c r="G71" s="217"/>
      <c r="H71" s="241"/>
      <c r="I71" s="241"/>
      <c r="J71" s="241"/>
      <c r="K71" s="258"/>
    </row>
    <row r="72" spans="1:11" ht="25.5" customHeight="1" thickBot="1" x14ac:dyDescent="0.3">
      <c r="A72" s="373" t="s">
        <v>273</v>
      </c>
      <c r="B72" s="373"/>
      <c r="C72" s="373"/>
      <c r="D72" s="373"/>
      <c r="E72" s="235"/>
      <c r="F72" s="235"/>
      <c r="G72" s="235"/>
      <c r="H72" s="371"/>
      <c r="I72" s="371"/>
      <c r="J72" s="371"/>
      <c r="K72" s="371"/>
    </row>
    <row r="73" spans="1:11" ht="24.75" thickTop="1" x14ac:dyDescent="0.2">
      <c r="A73" s="236" t="s">
        <v>235</v>
      </c>
      <c r="B73" s="236" t="s">
        <v>234</v>
      </c>
      <c r="C73" s="236" t="s">
        <v>196</v>
      </c>
      <c r="D73" s="236" t="s">
        <v>271</v>
      </c>
      <c r="E73" s="236" t="s">
        <v>225</v>
      </c>
      <c r="F73" s="236" t="s">
        <v>274</v>
      </c>
      <c r="G73" s="217"/>
      <c r="H73" s="237" t="s">
        <v>153</v>
      </c>
      <c r="I73" s="237" t="s">
        <v>154</v>
      </c>
      <c r="J73" s="237" t="s">
        <v>155</v>
      </c>
      <c r="K73" s="233" t="s">
        <v>156</v>
      </c>
    </row>
    <row r="74" spans="1:11" s="218" customFormat="1" ht="25.5" x14ac:dyDescent="0.2">
      <c r="A74" s="229">
        <v>1</v>
      </c>
      <c r="B74" s="219" t="s">
        <v>276</v>
      </c>
      <c r="C74" s="220">
        <v>3</v>
      </c>
      <c r="D74" s="221">
        <v>6</v>
      </c>
      <c r="E74" s="227">
        <v>10.52</v>
      </c>
      <c r="F74" s="253">
        <f t="shared" ref="F74:F95" si="8">ROUND(((C74*E74)/D74),2)</f>
        <v>5.26</v>
      </c>
      <c r="G74" s="217"/>
      <c r="H74" s="222">
        <v>10.99</v>
      </c>
      <c r="I74" s="222">
        <v>9.36</v>
      </c>
      <c r="J74" s="222">
        <v>11.19</v>
      </c>
      <c r="K74" s="251">
        <f t="shared" ref="K74:K95" si="9">ROUND((IF(AND(H74="",I74="",J74="")=TRUE,0,AVERAGE(H74:J74))),2)</f>
        <v>10.51</v>
      </c>
    </row>
    <row r="75" spans="1:11" s="218" customFormat="1" ht="25.5" x14ac:dyDescent="0.2">
      <c r="A75" s="230">
        <v>2</v>
      </c>
      <c r="B75" s="223" t="s">
        <v>277</v>
      </c>
      <c r="C75" s="224">
        <v>2</v>
      </c>
      <c r="D75" s="225">
        <v>6</v>
      </c>
      <c r="E75" s="227">
        <v>9.52</v>
      </c>
      <c r="F75" s="254">
        <f t="shared" si="8"/>
        <v>3.17</v>
      </c>
      <c r="G75" s="217"/>
      <c r="H75" s="226">
        <v>7.5</v>
      </c>
      <c r="I75" s="226">
        <v>9.0500000000000007</v>
      </c>
      <c r="J75" s="226">
        <v>12</v>
      </c>
      <c r="K75" s="252">
        <f t="shared" si="9"/>
        <v>9.52</v>
      </c>
    </row>
    <row r="76" spans="1:11" s="218" customFormat="1" ht="41.25" customHeight="1" x14ac:dyDescent="0.2">
      <c r="A76" s="229">
        <v>3</v>
      </c>
      <c r="B76" s="219" t="s">
        <v>278</v>
      </c>
      <c r="C76" s="220">
        <v>10</v>
      </c>
      <c r="D76" s="221">
        <v>6</v>
      </c>
      <c r="E76" s="227">
        <v>1.72</v>
      </c>
      <c r="F76" s="253">
        <f t="shared" si="8"/>
        <v>2.87</v>
      </c>
      <c r="G76" s="217"/>
      <c r="H76" s="222">
        <v>1.9</v>
      </c>
      <c r="I76" s="222">
        <v>1.76</v>
      </c>
      <c r="J76" s="222">
        <v>1.5</v>
      </c>
      <c r="K76" s="251">
        <f t="shared" si="9"/>
        <v>1.72</v>
      </c>
    </row>
    <row r="77" spans="1:11" s="218" customFormat="1" x14ac:dyDescent="0.2">
      <c r="A77" s="230">
        <v>4</v>
      </c>
      <c r="B77" s="223" t="s">
        <v>279</v>
      </c>
      <c r="C77" s="224">
        <v>2</v>
      </c>
      <c r="D77" s="225">
        <v>6</v>
      </c>
      <c r="E77" s="227">
        <v>4.1399999999999997</v>
      </c>
      <c r="F77" s="254">
        <f t="shared" si="8"/>
        <v>1.38</v>
      </c>
      <c r="G77" s="217"/>
      <c r="H77" s="226">
        <v>3.9</v>
      </c>
      <c r="I77" s="226">
        <v>4.12</v>
      </c>
      <c r="J77" s="226">
        <v>4.4000000000000004</v>
      </c>
      <c r="K77" s="252">
        <f t="shared" si="9"/>
        <v>4.1399999999999997</v>
      </c>
    </row>
    <row r="78" spans="1:11" s="218" customFormat="1" ht="25.5" x14ac:dyDescent="0.2">
      <c r="A78" s="229">
        <v>5</v>
      </c>
      <c r="B78" s="219" t="s">
        <v>280</v>
      </c>
      <c r="C78" s="220">
        <v>1</v>
      </c>
      <c r="D78" s="221">
        <v>6</v>
      </c>
      <c r="E78" s="227">
        <v>24.09</v>
      </c>
      <c r="F78" s="253">
        <f t="shared" si="8"/>
        <v>4.0199999999999996</v>
      </c>
      <c r="G78" s="217"/>
      <c r="H78" s="222">
        <v>21.98</v>
      </c>
      <c r="I78" s="222">
        <v>26.8</v>
      </c>
      <c r="J78" s="222">
        <v>23.5</v>
      </c>
      <c r="K78" s="251">
        <f t="shared" si="9"/>
        <v>24.09</v>
      </c>
    </row>
    <row r="79" spans="1:11" s="218" customFormat="1" ht="25.5" x14ac:dyDescent="0.2">
      <c r="A79" s="230">
        <v>6</v>
      </c>
      <c r="B79" s="223" t="s">
        <v>281</v>
      </c>
      <c r="C79" s="224">
        <v>1</v>
      </c>
      <c r="D79" s="225">
        <v>6</v>
      </c>
      <c r="E79" s="227">
        <v>24</v>
      </c>
      <c r="F79" s="254">
        <f t="shared" si="8"/>
        <v>4</v>
      </c>
      <c r="G79" s="217"/>
      <c r="H79" s="226">
        <v>24</v>
      </c>
      <c r="I79" s="226">
        <v>25</v>
      </c>
      <c r="J79" s="226">
        <v>22.99</v>
      </c>
      <c r="K79" s="252">
        <f t="shared" si="9"/>
        <v>24</v>
      </c>
    </row>
    <row r="80" spans="1:11" s="218" customFormat="1" ht="25.5" x14ac:dyDescent="0.2">
      <c r="A80" s="229">
        <v>7</v>
      </c>
      <c r="B80" s="219" t="s">
        <v>282</v>
      </c>
      <c r="C80" s="220">
        <v>1</v>
      </c>
      <c r="D80" s="221">
        <v>6</v>
      </c>
      <c r="E80" s="227">
        <v>19.66</v>
      </c>
      <c r="F80" s="253">
        <f t="shared" si="8"/>
        <v>3.28</v>
      </c>
      <c r="G80" s="217"/>
      <c r="H80" s="222">
        <v>18</v>
      </c>
      <c r="I80" s="222">
        <v>19</v>
      </c>
      <c r="J80" s="222">
        <v>21.96</v>
      </c>
      <c r="K80" s="251">
        <f t="shared" si="9"/>
        <v>19.649999999999999</v>
      </c>
    </row>
    <row r="81" spans="1:11" s="218" customFormat="1" ht="38.25" x14ac:dyDescent="0.2">
      <c r="A81" s="230">
        <v>8</v>
      </c>
      <c r="B81" s="223" t="s">
        <v>283</v>
      </c>
      <c r="C81" s="224">
        <v>2</v>
      </c>
      <c r="D81" s="225">
        <v>6</v>
      </c>
      <c r="E81" s="227">
        <v>14.34</v>
      </c>
      <c r="F81" s="254">
        <f t="shared" si="8"/>
        <v>4.78</v>
      </c>
      <c r="G81" s="217"/>
      <c r="H81" s="226">
        <v>13.72</v>
      </c>
      <c r="I81" s="226">
        <v>14</v>
      </c>
      <c r="J81" s="226">
        <v>15.3</v>
      </c>
      <c r="K81" s="252">
        <f t="shared" si="9"/>
        <v>14.34</v>
      </c>
    </row>
    <row r="82" spans="1:11" s="218" customFormat="1" ht="25.5" x14ac:dyDescent="0.2">
      <c r="A82" s="229">
        <v>9</v>
      </c>
      <c r="B82" s="219" t="s">
        <v>284</v>
      </c>
      <c r="C82" s="220">
        <v>3</v>
      </c>
      <c r="D82" s="221">
        <v>6</v>
      </c>
      <c r="E82" s="227">
        <v>11.48</v>
      </c>
      <c r="F82" s="253">
        <f t="shared" si="8"/>
        <v>5.74</v>
      </c>
      <c r="G82" s="217"/>
      <c r="H82" s="222">
        <v>11</v>
      </c>
      <c r="I82" s="222">
        <v>10.8</v>
      </c>
      <c r="J82" s="222">
        <v>12.65</v>
      </c>
      <c r="K82" s="251">
        <f t="shared" si="9"/>
        <v>11.48</v>
      </c>
    </row>
    <row r="83" spans="1:11" s="218" customFormat="1" ht="12.75" customHeight="1" x14ac:dyDescent="0.2">
      <c r="A83" s="230">
        <v>10</v>
      </c>
      <c r="B83" s="223" t="s">
        <v>285</v>
      </c>
      <c r="C83" s="224">
        <v>3</v>
      </c>
      <c r="D83" s="225">
        <v>6</v>
      </c>
      <c r="E83" s="227">
        <v>5.68</v>
      </c>
      <c r="F83" s="254">
        <f t="shared" si="8"/>
        <v>2.84</v>
      </c>
      <c r="G83" s="217"/>
      <c r="H83" s="226">
        <v>4.95</v>
      </c>
      <c r="I83" s="226">
        <v>5.49</v>
      </c>
      <c r="J83" s="226">
        <v>6.6</v>
      </c>
      <c r="K83" s="252">
        <f t="shared" si="9"/>
        <v>5.68</v>
      </c>
    </row>
    <row r="84" spans="1:11" s="218" customFormat="1" x14ac:dyDescent="0.2">
      <c r="A84" s="229">
        <v>11</v>
      </c>
      <c r="B84" s="219" t="s">
        <v>286</v>
      </c>
      <c r="C84" s="220">
        <v>2</v>
      </c>
      <c r="D84" s="221">
        <v>6</v>
      </c>
      <c r="E84" s="227">
        <v>6.99</v>
      </c>
      <c r="F84" s="253">
        <f t="shared" si="8"/>
        <v>2.33</v>
      </c>
      <c r="G84" s="217"/>
      <c r="H84" s="222">
        <v>6</v>
      </c>
      <c r="I84" s="222">
        <v>7.99</v>
      </c>
      <c r="J84" s="222">
        <v>6.99</v>
      </c>
      <c r="K84" s="251">
        <f t="shared" si="9"/>
        <v>6.99</v>
      </c>
    </row>
    <row r="85" spans="1:11" s="218" customFormat="1" x14ac:dyDescent="0.2">
      <c r="A85" s="230">
        <v>12</v>
      </c>
      <c r="B85" s="223" t="s">
        <v>287</v>
      </c>
      <c r="C85" s="224">
        <v>4</v>
      </c>
      <c r="D85" s="225">
        <v>6</v>
      </c>
      <c r="E85" s="227">
        <v>5.17</v>
      </c>
      <c r="F85" s="254">
        <f t="shared" si="8"/>
        <v>3.45</v>
      </c>
      <c r="G85" s="217"/>
      <c r="H85" s="226">
        <v>5.46</v>
      </c>
      <c r="I85" s="226">
        <v>5.16</v>
      </c>
      <c r="J85" s="226">
        <v>4.9000000000000004</v>
      </c>
      <c r="K85" s="252">
        <f t="shared" si="9"/>
        <v>5.17</v>
      </c>
    </row>
    <row r="86" spans="1:11" s="218" customFormat="1" x14ac:dyDescent="0.2">
      <c r="A86" s="229">
        <v>13</v>
      </c>
      <c r="B86" s="219" t="s">
        <v>288</v>
      </c>
      <c r="C86" s="220">
        <v>2</v>
      </c>
      <c r="D86" s="221">
        <v>6</v>
      </c>
      <c r="E86" s="227">
        <v>0.76</v>
      </c>
      <c r="F86" s="253">
        <f t="shared" si="8"/>
        <v>0.25</v>
      </c>
      <c r="G86" s="217"/>
      <c r="H86" s="222">
        <v>0.77</v>
      </c>
      <c r="I86" s="222">
        <v>0.6</v>
      </c>
      <c r="J86" s="222">
        <v>0.9</v>
      </c>
      <c r="K86" s="251">
        <f t="shared" si="9"/>
        <v>0.76</v>
      </c>
    </row>
    <row r="87" spans="1:11" s="218" customFormat="1" x14ac:dyDescent="0.2">
      <c r="A87" s="230">
        <v>14</v>
      </c>
      <c r="B87" s="223" t="s">
        <v>289</v>
      </c>
      <c r="C87" s="224">
        <v>2</v>
      </c>
      <c r="D87" s="225">
        <v>6</v>
      </c>
      <c r="E87" s="227">
        <v>0.71</v>
      </c>
      <c r="F87" s="254">
        <f t="shared" si="8"/>
        <v>0.24</v>
      </c>
      <c r="G87" s="217"/>
      <c r="H87" s="226">
        <v>0.84</v>
      </c>
      <c r="I87" s="226">
        <v>0.62</v>
      </c>
      <c r="J87" s="226">
        <v>0.68</v>
      </c>
      <c r="K87" s="252">
        <f t="shared" si="9"/>
        <v>0.71</v>
      </c>
    </row>
    <row r="88" spans="1:11" s="218" customFormat="1" x14ac:dyDescent="0.2">
      <c r="A88" s="229">
        <v>15</v>
      </c>
      <c r="B88" s="219" t="s">
        <v>290</v>
      </c>
      <c r="C88" s="220">
        <v>2</v>
      </c>
      <c r="D88" s="221">
        <v>6</v>
      </c>
      <c r="E88" s="227">
        <v>1.37</v>
      </c>
      <c r="F88" s="253">
        <f t="shared" si="8"/>
        <v>0.46</v>
      </c>
      <c r="G88" s="217"/>
      <c r="H88" s="222">
        <v>1.63</v>
      </c>
      <c r="I88" s="222">
        <v>1.2</v>
      </c>
      <c r="J88" s="222">
        <v>1.28</v>
      </c>
      <c r="K88" s="251">
        <f t="shared" si="9"/>
        <v>1.37</v>
      </c>
    </row>
    <row r="89" spans="1:11" s="218" customFormat="1" ht="25.5" x14ac:dyDescent="0.2">
      <c r="A89" s="230">
        <v>16</v>
      </c>
      <c r="B89" s="223" t="s">
        <v>291</v>
      </c>
      <c r="C89" s="224">
        <v>2</v>
      </c>
      <c r="D89" s="225">
        <v>6</v>
      </c>
      <c r="E89" s="227">
        <v>68.010000000000005</v>
      </c>
      <c r="F89" s="254">
        <f t="shared" si="8"/>
        <v>22.67</v>
      </c>
      <c r="G89" s="217"/>
      <c r="H89" s="226">
        <v>68.92</v>
      </c>
      <c r="I89" s="226">
        <v>66.180000000000007</v>
      </c>
      <c r="J89" s="226">
        <v>68.92</v>
      </c>
      <c r="K89" s="252">
        <f t="shared" si="9"/>
        <v>68.010000000000005</v>
      </c>
    </row>
    <row r="90" spans="1:11" s="218" customFormat="1" ht="25.5" x14ac:dyDescent="0.2">
      <c r="A90" s="229">
        <v>17</v>
      </c>
      <c r="B90" s="219" t="s">
        <v>292</v>
      </c>
      <c r="C90" s="220">
        <v>4</v>
      </c>
      <c r="D90" s="221">
        <v>6</v>
      </c>
      <c r="E90" s="227">
        <v>11.73</v>
      </c>
      <c r="F90" s="253">
        <f t="shared" si="8"/>
        <v>7.82</v>
      </c>
      <c r="G90" s="217"/>
      <c r="H90" s="222">
        <v>11.3</v>
      </c>
      <c r="I90" s="222">
        <v>13.46</v>
      </c>
      <c r="J90" s="222">
        <v>10.44</v>
      </c>
      <c r="K90" s="251">
        <f t="shared" si="9"/>
        <v>11.73</v>
      </c>
    </row>
    <row r="91" spans="1:11" s="218" customFormat="1" ht="38.25" x14ac:dyDescent="0.2">
      <c r="A91" s="230">
        <v>18</v>
      </c>
      <c r="B91" s="223" t="s">
        <v>293</v>
      </c>
      <c r="C91" s="224">
        <v>3</v>
      </c>
      <c r="D91" s="225">
        <v>6</v>
      </c>
      <c r="E91" s="227">
        <v>88.53</v>
      </c>
      <c r="F91" s="254">
        <f t="shared" si="8"/>
        <v>44.27</v>
      </c>
      <c r="G91" s="217"/>
      <c r="H91" s="226">
        <v>90</v>
      </c>
      <c r="I91" s="226">
        <v>95.6</v>
      </c>
      <c r="J91" s="226">
        <v>80</v>
      </c>
      <c r="K91" s="252">
        <f t="shared" si="9"/>
        <v>88.53</v>
      </c>
    </row>
    <row r="92" spans="1:11" s="218" customFormat="1" x14ac:dyDescent="0.2">
      <c r="A92" s="229">
        <v>19</v>
      </c>
      <c r="B92" s="219" t="s">
        <v>294</v>
      </c>
      <c r="C92" s="220">
        <v>2</v>
      </c>
      <c r="D92" s="221">
        <v>6</v>
      </c>
      <c r="E92" s="227">
        <v>6.53</v>
      </c>
      <c r="F92" s="253">
        <f t="shared" si="8"/>
        <v>2.1800000000000002</v>
      </c>
      <c r="G92" s="217"/>
      <c r="H92" s="222">
        <v>6.2</v>
      </c>
      <c r="I92" s="222">
        <v>6.2</v>
      </c>
      <c r="J92" s="222">
        <v>7.19</v>
      </c>
      <c r="K92" s="251">
        <f t="shared" si="9"/>
        <v>6.53</v>
      </c>
    </row>
    <row r="93" spans="1:11" s="218" customFormat="1" x14ac:dyDescent="0.2">
      <c r="A93" s="230">
        <v>20</v>
      </c>
      <c r="B93" s="223" t="s">
        <v>295</v>
      </c>
      <c r="C93" s="224">
        <v>2</v>
      </c>
      <c r="D93" s="225">
        <v>6</v>
      </c>
      <c r="E93" s="227">
        <v>11.75</v>
      </c>
      <c r="F93" s="254">
        <f t="shared" si="8"/>
        <v>3.92</v>
      </c>
      <c r="G93" s="217"/>
      <c r="H93" s="226">
        <v>13.52</v>
      </c>
      <c r="I93" s="226">
        <v>11.02</v>
      </c>
      <c r="J93" s="226">
        <v>10.7</v>
      </c>
      <c r="K93" s="252">
        <f t="shared" si="9"/>
        <v>11.75</v>
      </c>
    </row>
    <row r="94" spans="1:11" s="218" customFormat="1" x14ac:dyDescent="0.2">
      <c r="A94" s="229">
        <v>21</v>
      </c>
      <c r="B94" s="219" t="s">
        <v>296</v>
      </c>
      <c r="C94" s="220">
        <v>2</v>
      </c>
      <c r="D94" s="221">
        <v>6</v>
      </c>
      <c r="E94" s="227">
        <v>12.12</v>
      </c>
      <c r="F94" s="253">
        <f t="shared" si="8"/>
        <v>4.04</v>
      </c>
      <c r="G94" s="217"/>
      <c r="H94" s="222">
        <v>13.52</v>
      </c>
      <c r="I94" s="222">
        <v>11.04</v>
      </c>
      <c r="J94" s="222">
        <v>11.8</v>
      </c>
      <c r="K94" s="251">
        <f t="shared" si="9"/>
        <v>12.12</v>
      </c>
    </row>
    <row r="95" spans="1:11" s="218" customFormat="1" ht="13.5" thickBot="1" x14ac:dyDescent="0.25">
      <c r="A95" s="230">
        <v>22</v>
      </c>
      <c r="B95" s="223" t="s">
        <v>297</v>
      </c>
      <c r="C95" s="224">
        <v>2</v>
      </c>
      <c r="D95" s="225">
        <v>6</v>
      </c>
      <c r="E95" s="227">
        <v>13.31</v>
      </c>
      <c r="F95" s="254">
        <f t="shared" si="8"/>
        <v>4.4400000000000004</v>
      </c>
      <c r="G95" s="217"/>
      <c r="H95" s="226">
        <v>13.8</v>
      </c>
      <c r="I95" s="226">
        <v>13.18</v>
      </c>
      <c r="J95" s="226">
        <v>12.96</v>
      </c>
      <c r="K95" s="252">
        <f t="shared" si="9"/>
        <v>13.31</v>
      </c>
    </row>
    <row r="96" spans="1:11" s="218" customFormat="1" ht="13.5" thickBot="1" x14ac:dyDescent="0.25">
      <c r="A96" s="228"/>
      <c r="B96" s="238"/>
      <c r="C96" s="239"/>
      <c r="D96" s="240"/>
      <c r="E96" s="243" t="s">
        <v>267</v>
      </c>
      <c r="F96" s="255">
        <f>SUM(F74:F95)</f>
        <v>133.41000000000003</v>
      </c>
      <c r="G96" s="217"/>
      <c r="H96" s="241"/>
      <c r="I96" s="241"/>
      <c r="J96" s="241"/>
      <c r="K96" s="258"/>
    </row>
    <row r="97" spans="1:11" s="218" customFormat="1" x14ac:dyDescent="0.2">
      <c r="A97" s="372" t="s">
        <v>137</v>
      </c>
      <c r="B97" s="372"/>
      <c r="C97" s="239"/>
      <c r="D97" s="240"/>
      <c r="E97" s="243"/>
      <c r="F97" s="264"/>
      <c r="G97" s="217"/>
      <c r="H97" s="241"/>
      <c r="I97" s="241"/>
      <c r="J97" s="241"/>
      <c r="K97" s="258"/>
    </row>
  </sheetData>
  <sheetProtection algorithmName="SHA-512" hashValue="cTift2/zLyapC+TdjLyYVZFY0dS9dq8cO2uDkM6pGVy5nO5pAAP3fiLKgUcOl6JIzEvEWB2ijFlXKmLes/u+VQ==" saltValue="LxZnW3khSOV1UVYTpcFANw==" spinCount="100000" sheet="1" objects="1" scenarios="1" selectLockedCells="1"/>
  <mergeCells count="24">
    <mergeCell ref="H12:K12"/>
    <mergeCell ref="H18:K18"/>
    <mergeCell ref="A1:K1"/>
    <mergeCell ref="A2:K2"/>
    <mergeCell ref="A3:K3"/>
    <mergeCell ref="A4:K4"/>
    <mergeCell ref="A8:K8"/>
    <mergeCell ref="A9:K9"/>
    <mergeCell ref="A11:K11"/>
    <mergeCell ref="A12:F12"/>
    <mergeCell ref="A13:D13"/>
    <mergeCell ref="A14:D14"/>
    <mergeCell ref="A15:D15"/>
    <mergeCell ref="A16:D16"/>
    <mergeCell ref="A17:D17"/>
    <mergeCell ref="A18:D18"/>
    <mergeCell ref="H15:K15"/>
    <mergeCell ref="A97:B97"/>
    <mergeCell ref="A38:D38"/>
    <mergeCell ref="H38:K38"/>
    <mergeCell ref="A28:D28"/>
    <mergeCell ref="H28:K28"/>
    <mergeCell ref="A72:D72"/>
    <mergeCell ref="H72:K72"/>
  </mergeCells>
  <printOptions horizontalCentered="1"/>
  <pageMargins left="0.19685039370078741" right="0.19685039370078741" top="0.70866141732283472" bottom="0.39370078740157483" header="0.19685039370078741" footer="7.874015748031496E-2"/>
  <pageSetup paperSize="9" scale="63" firstPageNumber="0" orientation="portrait" horizontalDpi="300" verticalDpi="300" r:id="rId1"/>
  <headerFooter>
    <oddHeader>&amp;C&amp;G&amp;R&amp;8&amp;P</oddHeader>
    <oddFooter>&amp;L&amp;8&amp;G
   &amp;"Arial,Negrito"&amp;K08-024SCCAT/CFIC/SECOFC</oddFooter>
  </headerFooter>
  <rowBreaks count="1" manualBreakCount="1">
    <brk id="37" max="16383" man="1"/>
  </rowBreaks>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J58"/>
  <sheetViews>
    <sheetView showGridLines="0" view="pageBreakPreview" zoomScaleNormal="100" workbookViewId="0">
      <selection activeCell="G52" sqref="G52"/>
    </sheetView>
  </sheetViews>
  <sheetFormatPr defaultRowHeight="12.75" x14ac:dyDescent="0.2"/>
  <cols>
    <col min="1" max="1" width="44" style="90" customWidth="1"/>
    <col min="2" max="8" width="14.7109375" style="89" customWidth="1"/>
    <col min="9" max="9" width="14.140625" style="89" customWidth="1"/>
    <col min="10" max="13" width="17.140625" style="89" customWidth="1"/>
    <col min="14" max="14" width="19.85546875" style="89" customWidth="1"/>
    <col min="15" max="15" width="17.140625" style="89" customWidth="1"/>
    <col min="16" max="16" width="34.28515625" style="89" customWidth="1"/>
    <col min="17" max="17" width="17.7109375" style="89" customWidth="1"/>
    <col min="18" max="18" width="13.42578125" style="89" customWidth="1"/>
    <col min="19" max="20" width="11.42578125" style="89" customWidth="1"/>
    <col min="21" max="21" width="16.5703125" style="89" customWidth="1"/>
    <col min="22" max="1024" width="11.42578125" style="89" customWidth="1"/>
  </cols>
  <sheetData>
    <row r="1" spans="1:17" ht="18" x14ac:dyDescent="0.25">
      <c r="A1" s="394" t="str">
        <f>Postos!A1:W1</f>
        <v>TRIBUNAL REGIONAL ELEITORAL DO PARANÁ</v>
      </c>
      <c r="B1" s="394"/>
      <c r="C1" s="394"/>
      <c r="D1" s="394"/>
      <c r="E1" s="394"/>
      <c r="F1" s="394"/>
      <c r="G1" s="394"/>
      <c r="H1" s="394"/>
    </row>
    <row r="2" spans="1:17" s="91" customFormat="1" ht="15" customHeight="1" x14ac:dyDescent="0.2">
      <c r="A2" s="395" t="str">
        <f>Postos!A2:W2</f>
        <v>Planilha de Custos e Formação de Preços - Estimativa TRE-PR</v>
      </c>
      <c r="B2" s="395"/>
      <c r="C2" s="395"/>
      <c r="D2" s="395"/>
      <c r="E2" s="395"/>
      <c r="F2" s="395"/>
      <c r="G2" s="395"/>
      <c r="H2" s="395"/>
    </row>
    <row r="3" spans="1:17" ht="15" customHeight="1" x14ac:dyDescent="0.2">
      <c r="A3" s="396" t="str">
        <f>Postos!A3:W3</f>
        <v>Serviços de Bombeiro Civil</v>
      </c>
      <c r="B3" s="396"/>
      <c r="C3" s="396"/>
      <c r="D3" s="396"/>
      <c r="E3" s="396"/>
      <c r="F3" s="396"/>
      <c r="G3" s="396"/>
      <c r="H3" s="396"/>
    </row>
    <row r="4" spans="1:17" ht="15" customHeight="1" thickBot="1" x14ac:dyDescent="0.25">
      <c r="A4" s="188"/>
      <c r="B4" s="188"/>
      <c r="C4" s="188"/>
      <c r="D4" s="188"/>
      <c r="E4" s="188"/>
      <c r="F4" s="188"/>
      <c r="G4" s="188"/>
      <c r="H4" s="188"/>
    </row>
    <row r="5" spans="1:17" ht="15" customHeight="1" x14ac:dyDescent="0.2">
      <c r="A5" s="397" t="str">
        <f>Postos!A9:W9</f>
        <v>Empresa</v>
      </c>
      <c r="B5" s="398"/>
      <c r="C5" s="398"/>
      <c r="D5" s="398"/>
      <c r="E5" s="398"/>
      <c r="F5" s="398"/>
      <c r="G5" s="398"/>
      <c r="H5" s="399"/>
    </row>
    <row r="6" spans="1:17" ht="15" customHeight="1" thickBot="1" x14ac:dyDescent="0.25">
      <c r="A6" s="400" t="str">
        <f>Postos!A10:W10</f>
        <v>CNPJ</v>
      </c>
      <c r="B6" s="401"/>
      <c r="C6" s="401"/>
      <c r="D6" s="401"/>
      <c r="E6" s="401"/>
      <c r="F6" s="401"/>
      <c r="G6" s="401"/>
      <c r="H6" s="402"/>
    </row>
    <row r="7" spans="1:17" ht="15" customHeight="1" thickBot="1" x14ac:dyDescent="0.25">
      <c r="A7" s="403"/>
      <c r="B7" s="403"/>
      <c r="C7" s="403"/>
      <c r="D7" s="403"/>
      <c r="E7" s="403"/>
      <c r="F7" s="403"/>
      <c r="G7" s="403"/>
      <c r="H7" s="403"/>
    </row>
    <row r="8" spans="1:17" ht="25.5" customHeight="1" x14ac:dyDescent="0.2">
      <c r="A8" s="360" t="s">
        <v>157</v>
      </c>
      <c r="B8" s="360"/>
      <c r="C8" s="360"/>
      <c r="D8" s="360"/>
      <c r="E8" s="360"/>
      <c r="F8" s="360"/>
      <c r="G8" s="360"/>
      <c r="H8" s="360"/>
    </row>
    <row r="9" spans="1:17" ht="15" customHeight="1" x14ac:dyDescent="0.2">
      <c r="A9" s="93"/>
      <c r="B9" s="92"/>
      <c r="C9" s="92"/>
      <c r="D9" s="92"/>
      <c r="E9" s="92"/>
      <c r="F9" s="92"/>
      <c r="G9" s="92"/>
      <c r="H9" s="92"/>
    </row>
    <row r="10" spans="1:17" ht="24.75" customHeight="1" x14ac:dyDescent="0.2">
      <c r="A10" s="94" t="s">
        <v>158</v>
      </c>
      <c r="B10" s="95" t="s">
        <v>159</v>
      </c>
      <c r="C10" s="96"/>
      <c r="D10" s="92"/>
      <c r="E10" s="92"/>
      <c r="F10" s="92"/>
      <c r="G10" s="92"/>
      <c r="H10" s="92"/>
    </row>
    <row r="11" spans="1:17" ht="15" customHeight="1" x14ac:dyDescent="0.2">
      <c r="A11" s="97" t="str">
        <f>Postos!A17</f>
        <v>Bombeiro Civil (CBO 5171-10) - 30h</v>
      </c>
      <c r="B11" s="98">
        <v>30</v>
      </c>
      <c r="C11" s="99"/>
      <c r="D11" s="92"/>
      <c r="E11" s="92"/>
      <c r="F11" s="92"/>
      <c r="G11" s="92"/>
      <c r="H11" s="92"/>
    </row>
    <row r="12" spans="1:17" s="104" customFormat="1" ht="25.5" customHeight="1" thickBot="1" x14ac:dyDescent="0.3">
      <c r="A12" s="404" t="s">
        <v>198</v>
      </c>
      <c r="B12" s="404"/>
      <c r="C12" s="404"/>
      <c r="D12" s="404"/>
      <c r="E12" s="404"/>
      <c r="F12" s="404"/>
      <c r="G12" s="404"/>
      <c r="H12" s="404"/>
      <c r="I12" s="100"/>
      <c r="J12" s="101"/>
      <c r="K12" s="101"/>
      <c r="L12" s="101"/>
      <c r="M12" s="102"/>
      <c r="N12" s="101"/>
      <c r="O12" s="101"/>
      <c r="P12" s="103"/>
    </row>
    <row r="13" spans="1:17" ht="64.5" customHeight="1" x14ac:dyDescent="0.2">
      <c r="A13" s="405" t="s">
        <v>158</v>
      </c>
      <c r="B13" s="406" t="s">
        <v>19</v>
      </c>
      <c r="C13" s="407" t="s">
        <v>160</v>
      </c>
      <c r="D13" s="105" t="s">
        <v>161</v>
      </c>
      <c r="E13" s="105" t="s">
        <v>162</v>
      </c>
      <c r="F13" s="408" t="s">
        <v>163</v>
      </c>
      <c r="G13" s="105" t="s">
        <v>138</v>
      </c>
      <c r="H13" s="407" t="s">
        <v>164</v>
      </c>
      <c r="I13" s="106"/>
      <c r="J13" s="107"/>
      <c r="K13" s="107"/>
      <c r="L13" s="107"/>
      <c r="M13" s="107"/>
      <c r="N13" s="107"/>
      <c r="O13" s="107"/>
      <c r="P13" s="108"/>
      <c r="Q13" s="108"/>
    </row>
    <row r="14" spans="1:17" ht="15" customHeight="1" thickTop="1" x14ac:dyDescent="0.2">
      <c r="A14" s="405"/>
      <c r="B14" s="406"/>
      <c r="C14" s="407"/>
      <c r="D14" s="109">
        <v>0.2</v>
      </c>
      <c r="E14" s="109">
        <f>'Encargos Sociais'!$F$23/100</f>
        <v>0.36799999999999999</v>
      </c>
      <c r="F14" s="408"/>
      <c r="G14" s="109">
        <f>CITL!$B$18</f>
        <v>0.30445795339412363</v>
      </c>
      <c r="H14" s="407"/>
      <c r="I14" s="106"/>
      <c r="J14" s="107"/>
      <c r="K14" s="107"/>
      <c r="L14" s="107"/>
      <c r="M14" s="107"/>
      <c r="N14" s="107"/>
      <c r="O14" s="107"/>
      <c r="P14" s="108"/>
      <c r="Q14" s="108"/>
    </row>
    <row r="15" spans="1:17" ht="15" customHeight="1" x14ac:dyDescent="0.2">
      <c r="A15" s="97" t="str">
        <f>A11</f>
        <v>Bombeiro Civil (CBO 5171-10) - 30h</v>
      </c>
      <c r="B15" s="179">
        <f>Postos!B17</f>
        <v>2050.46</v>
      </c>
      <c r="C15" s="127">
        <f>($B$15/($B$11*5))*1.5</f>
        <v>20.5046</v>
      </c>
      <c r="D15" s="127">
        <f>C15*$D$14</f>
        <v>4.1009200000000003</v>
      </c>
      <c r="E15" s="128">
        <f>(C15+D15)*$E$14</f>
        <v>9.0548313599999997</v>
      </c>
      <c r="F15" s="128">
        <f>C15+D15+E15</f>
        <v>33.66035136</v>
      </c>
      <c r="G15" s="128">
        <f>F15*$G$14</f>
        <v>10.248161685592706</v>
      </c>
      <c r="H15" s="177">
        <f>ROUND((F15+G15),2)</f>
        <v>43.91</v>
      </c>
      <c r="I15" s="106"/>
      <c r="N15" s="107"/>
      <c r="O15" s="107"/>
      <c r="P15" s="108"/>
      <c r="Q15" s="108"/>
    </row>
    <row r="16" spans="1:17" s="104" customFormat="1" ht="25.5" customHeight="1" thickBot="1" x14ac:dyDescent="0.3">
      <c r="A16" s="404" t="s">
        <v>199</v>
      </c>
      <c r="B16" s="404"/>
      <c r="C16" s="404"/>
      <c r="D16" s="404"/>
      <c r="E16" s="404"/>
      <c r="F16" s="404"/>
      <c r="G16" s="404"/>
      <c r="H16" s="404"/>
      <c r="I16" s="100"/>
      <c r="J16" s="101"/>
      <c r="K16" s="101"/>
      <c r="L16" s="101"/>
      <c r="M16" s="101"/>
      <c r="N16" s="101"/>
      <c r="O16" s="101"/>
      <c r="P16" s="103"/>
      <c r="Q16" s="103"/>
    </row>
    <row r="17" spans="1:17" ht="64.5" customHeight="1" x14ac:dyDescent="0.2">
      <c r="A17" s="409" t="s">
        <v>158</v>
      </c>
      <c r="B17" s="410" t="s">
        <v>19</v>
      </c>
      <c r="C17" s="407" t="s">
        <v>165</v>
      </c>
      <c r="D17" s="105" t="s">
        <v>161</v>
      </c>
      <c r="E17" s="105" t="s">
        <v>162</v>
      </c>
      <c r="F17" s="408" t="s">
        <v>163</v>
      </c>
      <c r="G17" s="105" t="s">
        <v>138</v>
      </c>
      <c r="H17" s="407" t="s">
        <v>164</v>
      </c>
      <c r="I17" s="106"/>
      <c r="J17" s="107"/>
      <c r="K17" s="107"/>
      <c r="L17" s="107"/>
      <c r="M17" s="107"/>
      <c r="N17" s="107"/>
      <c r="O17" s="107"/>
      <c r="P17" s="108"/>
      <c r="Q17" s="108"/>
    </row>
    <row r="18" spans="1:17" ht="15" customHeight="1" thickTop="1" x14ac:dyDescent="0.2">
      <c r="A18" s="409"/>
      <c r="B18" s="410"/>
      <c r="C18" s="407"/>
      <c r="D18" s="109">
        <v>0.2</v>
      </c>
      <c r="E18" s="109">
        <f>'Encargos Sociais'!$F$23/100</f>
        <v>0.36799999999999999</v>
      </c>
      <c r="F18" s="408"/>
      <c r="G18" s="109">
        <f>CITL!$B$18</f>
        <v>0.30445795339412363</v>
      </c>
      <c r="H18" s="407"/>
      <c r="I18" s="106"/>
      <c r="J18" s="107"/>
      <c r="K18" s="107"/>
      <c r="L18" s="107"/>
      <c r="M18" s="107"/>
      <c r="N18" s="107"/>
      <c r="O18" s="107"/>
      <c r="P18" s="108"/>
      <c r="Q18" s="108"/>
    </row>
    <row r="19" spans="1:17" ht="15" customHeight="1" x14ac:dyDescent="0.2">
      <c r="A19" s="97" t="str">
        <f>A11</f>
        <v>Bombeiro Civil (CBO 5171-10) - 30h</v>
      </c>
      <c r="B19" s="179">
        <f>Postos!B17</f>
        <v>2050.46</v>
      </c>
      <c r="C19" s="127">
        <f>($B$19/($B$11*5))*2</f>
        <v>27.339466666666667</v>
      </c>
      <c r="D19" s="127">
        <f>C19*$D$18</f>
        <v>5.4678933333333335</v>
      </c>
      <c r="E19" s="128">
        <f>(C19+D19)*$E$18</f>
        <v>12.07310848</v>
      </c>
      <c r="F19" s="128">
        <f>C19+D19+E19</f>
        <v>44.880468480000005</v>
      </c>
      <c r="G19" s="128">
        <f>F19*$G$18</f>
        <v>13.664215580790275</v>
      </c>
      <c r="H19" s="177">
        <f>ROUND((F19+G19),2)</f>
        <v>58.54</v>
      </c>
      <c r="I19" s="106"/>
      <c r="J19" s="107"/>
      <c r="K19" s="107"/>
      <c r="L19" s="107"/>
      <c r="M19" s="107"/>
      <c r="N19" s="107"/>
      <c r="O19" s="107"/>
      <c r="P19" s="108"/>
      <c r="Q19" s="108"/>
    </row>
    <row r="20" spans="1:17" s="104" customFormat="1" ht="25.5" customHeight="1" thickBot="1" x14ac:dyDescent="0.3">
      <c r="A20" s="411" t="s">
        <v>200</v>
      </c>
      <c r="B20" s="411"/>
      <c r="C20" s="411"/>
      <c r="D20" s="411"/>
      <c r="E20" s="411"/>
      <c r="F20" s="411"/>
      <c r="G20" s="411"/>
      <c r="H20" s="411"/>
      <c r="I20" s="100"/>
      <c r="J20" s="101"/>
      <c r="K20" s="101"/>
      <c r="L20" s="101"/>
      <c r="M20" s="101"/>
      <c r="N20" s="101"/>
      <c r="O20" s="101"/>
      <c r="P20" s="103"/>
      <c r="Q20" s="103"/>
    </row>
    <row r="21" spans="1:17" ht="64.5" customHeight="1" x14ac:dyDescent="0.2">
      <c r="A21" s="405" t="s">
        <v>158</v>
      </c>
      <c r="B21" s="412" t="s">
        <v>19</v>
      </c>
      <c r="C21" s="413" t="s">
        <v>166</v>
      </c>
      <c r="D21" s="190" t="s">
        <v>161</v>
      </c>
      <c r="E21" s="190" t="s">
        <v>162</v>
      </c>
      <c r="F21" s="414" t="s">
        <v>163</v>
      </c>
      <c r="G21" s="190" t="s">
        <v>138</v>
      </c>
      <c r="H21" s="413" t="s">
        <v>164</v>
      </c>
      <c r="I21" s="106"/>
      <c r="J21" s="107"/>
      <c r="K21" s="107"/>
      <c r="L21" s="107"/>
      <c r="M21" s="107"/>
      <c r="N21" s="107"/>
      <c r="O21" s="107"/>
      <c r="P21" s="108"/>
      <c r="Q21" s="108"/>
    </row>
    <row r="22" spans="1:17" ht="15" customHeight="1" x14ac:dyDescent="0.2">
      <c r="A22" s="405"/>
      <c r="B22" s="412"/>
      <c r="C22" s="413"/>
      <c r="D22" s="109">
        <v>0.2</v>
      </c>
      <c r="E22" s="109">
        <f>'Encargos Sociais'!$F$23/100</f>
        <v>0.36799999999999999</v>
      </c>
      <c r="F22" s="414"/>
      <c r="G22" s="109">
        <f>CITL!$B$18</f>
        <v>0.30445795339412363</v>
      </c>
      <c r="H22" s="413"/>
      <c r="I22" s="106"/>
      <c r="J22" s="107"/>
      <c r="K22" s="107"/>
      <c r="L22" s="107"/>
      <c r="M22" s="107"/>
      <c r="N22" s="107"/>
      <c r="O22" s="107"/>
      <c r="P22" s="108"/>
      <c r="Q22" s="108"/>
    </row>
    <row r="23" spans="1:17" ht="15" customHeight="1" x14ac:dyDescent="0.2">
      <c r="A23" s="97" t="str">
        <f>A11</f>
        <v>Bombeiro Civil (CBO 5171-10) - 30h</v>
      </c>
      <c r="B23" s="179">
        <f>Postos!B17</f>
        <v>2050.46</v>
      </c>
      <c r="C23" s="127">
        <f>(((B23/(B11*5))*1.1428571)*1.2)*1.5</f>
        <v>28.120593231192004</v>
      </c>
      <c r="D23" s="127">
        <f>C23*$D$22</f>
        <v>5.6241186462384007</v>
      </c>
      <c r="E23" s="128">
        <f>(C23+D23)*$E$22</f>
        <v>12.418053970894389</v>
      </c>
      <c r="F23" s="128">
        <f>C23+D23+E23</f>
        <v>46.162765848324796</v>
      </c>
      <c r="G23" s="128">
        <f>F23*$G$22</f>
        <v>14.054621213193112</v>
      </c>
      <c r="H23" s="177">
        <f>ROUND((F23+G23),2)</f>
        <v>60.22</v>
      </c>
      <c r="I23" s="106"/>
      <c r="J23" s="107"/>
      <c r="K23" s="107"/>
      <c r="L23" s="107"/>
      <c r="M23" s="107"/>
      <c r="N23" s="107"/>
      <c r="O23" s="107"/>
      <c r="P23" s="108"/>
      <c r="Q23" s="108"/>
    </row>
    <row r="24" spans="1:17" s="104" customFormat="1" ht="25.5" customHeight="1" thickBot="1" x14ac:dyDescent="0.3">
      <c r="A24" s="411" t="s">
        <v>201</v>
      </c>
      <c r="B24" s="411"/>
      <c r="C24" s="411"/>
      <c r="D24" s="411"/>
      <c r="E24" s="411"/>
      <c r="F24" s="411"/>
      <c r="G24" s="411"/>
      <c r="H24" s="411"/>
      <c r="I24" s="100"/>
      <c r="J24" s="101"/>
      <c r="K24" s="101"/>
      <c r="L24" s="101"/>
      <c r="M24" s="101"/>
      <c r="N24" s="101"/>
      <c r="O24" s="101"/>
      <c r="P24" s="103"/>
      <c r="Q24" s="103"/>
    </row>
    <row r="25" spans="1:17" ht="64.5" customHeight="1" x14ac:dyDescent="0.2">
      <c r="A25" s="405" t="s">
        <v>158</v>
      </c>
      <c r="B25" s="412" t="s">
        <v>19</v>
      </c>
      <c r="C25" s="413" t="s">
        <v>167</v>
      </c>
      <c r="D25" s="190" t="s">
        <v>161</v>
      </c>
      <c r="E25" s="190" t="s">
        <v>162</v>
      </c>
      <c r="F25" s="414" t="s">
        <v>163</v>
      </c>
      <c r="G25" s="190" t="s">
        <v>138</v>
      </c>
      <c r="H25" s="413" t="s">
        <v>168</v>
      </c>
      <c r="I25" s="106"/>
      <c r="J25" s="107"/>
      <c r="K25" s="107"/>
      <c r="L25" s="107"/>
      <c r="M25" s="107"/>
      <c r="N25" s="107"/>
      <c r="O25" s="107"/>
      <c r="P25" s="108"/>
      <c r="Q25" s="108"/>
    </row>
    <row r="26" spans="1:17" ht="15" customHeight="1" x14ac:dyDescent="0.2">
      <c r="A26" s="405"/>
      <c r="B26" s="412"/>
      <c r="C26" s="413"/>
      <c r="D26" s="109">
        <v>0.2</v>
      </c>
      <c r="E26" s="109">
        <f>'Encargos Sociais'!$F$23/100</f>
        <v>0.36799999999999999</v>
      </c>
      <c r="F26" s="414"/>
      <c r="G26" s="109">
        <f>CITL!$B$18</f>
        <v>0.30445795339412363</v>
      </c>
      <c r="H26" s="413"/>
      <c r="I26" s="106"/>
      <c r="J26" s="107"/>
      <c r="K26" s="107"/>
      <c r="L26" s="107"/>
      <c r="M26" s="107"/>
      <c r="N26" s="107"/>
      <c r="O26" s="107"/>
      <c r="P26" s="108"/>
      <c r="Q26" s="108"/>
    </row>
    <row r="27" spans="1:17" ht="15" customHeight="1" x14ac:dyDescent="0.2">
      <c r="A27" s="97" t="str">
        <f>A11</f>
        <v>Bombeiro Civil (CBO 5171-10) - 30h</v>
      </c>
      <c r="B27" s="179">
        <f>Postos!B17</f>
        <v>2050.46</v>
      </c>
      <c r="C27" s="127">
        <f>(((B27/(B11*5))*1.1428571)*1.2)*2</f>
        <v>37.494124308256005</v>
      </c>
      <c r="D27" s="127">
        <f>C27*$D$26</f>
        <v>7.498824861651201</v>
      </c>
      <c r="E27" s="128">
        <f>(C27+D27)*$E$26</f>
        <v>16.55740529452585</v>
      </c>
      <c r="F27" s="128">
        <f>C27+D27+E27</f>
        <v>61.550354464433056</v>
      </c>
      <c r="G27" s="128">
        <f>F27*$G$26</f>
        <v>18.739494950924147</v>
      </c>
      <c r="H27" s="177">
        <f>ROUND((F27+G27),2)</f>
        <v>80.290000000000006</v>
      </c>
      <c r="I27" s="106"/>
      <c r="J27" s="107"/>
      <c r="K27" s="110"/>
      <c r="L27" s="107"/>
      <c r="M27" s="107"/>
      <c r="N27" s="107"/>
      <c r="O27" s="107"/>
      <c r="P27" s="108"/>
      <c r="Q27" s="108"/>
    </row>
    <row r="28" spans="1:17" s="104" customFormat="1" ht="25.5" customHeight="1" thickBot="1" x14ac:dyDescent="0.3">
      <c r="A28" s="415"/>
      <c r="B28" s="415"/>
      <c r="C28" s="415"/>
      <c r="D28" s="415"/>
      <c r="E28" s="415"/>
      <c r="F28" s="415"/>
      <c r="G28" s="415"/>
      <c r="H28" s="415"/>
      <c r="I28" s="101"/>
      <c r="J28" s="101"/>
      <c r="K28" s="101"/>
      <c r="L28" s="101"/>
      <c r="M28" s="101"/>
      <c r="N28" s="101"/>
      <c r="O28" s="101"/>
      <c r="P28" s="101"/>
      <c r="Q28" s="103"/>
    </row>
    <row r="29" spans="1:17" ht="25.5" customHeight="1" x14ac:dyDescent="0.2">
      <c r="A29" s="416"/>
      <c r="B29" s="416" t="s">
        <v>169</v>
      </c>
      <c r="C29" s="416"/>
      <c r="D29" s="416"/>
      <c r="E29" s="111"/>
      <c r="F29" s="416" t="s">
        <v>170</v>
      </c>
      <c r="G29" s="416"/>
      <c r="H29" s="416"/>
      <c r="I29" s="107"/>
      <c r="J29" s="107"/>
      <c r="K29" s="107"/>
      <c r="L29" s="107"/>
      <c r="M29" s="107"/>
      <c r="N29" s="107"/>
      <c r="O29" s="107"/>
      <c r="P29" s="107"/>
      <c r="Q29" s="108"/>
    </row>
    <row r="30" spans="1:17" ht="60.75" customHeight="1" x14ac:dyDescent="0.2">
      <c r="A30" s="409" t="s">
        <v>158</v>
      </c>
      <c r="B30" s="406" t="s">
        <v>171</v>
      </c>
      <c r="C30" s="189" t="s">
        <v>138</v>
      </c>
      <c r="D30" s="406" t="s">
        <v>172</v>
      </c>
      <c r="E30" s="112"/>
      <c r="F30" s="406" t="s">
        <v>171</v>
      </c>
      <c r="G30" s="189" t="s">
        <v>138</v>
      </c>
      <c r="H30" s="406" t="s">
        <v>173</v>
      </c>
      <c r="I30" s="107"/>
      <c r="J30" s="107"/>
      <c r="K30" s="107"/>
      <c r="L30" s="107"/>
      <c r="M30" s="107"/>
      <c r="N30" s="107"/>
      <c r="O30" s="107"/>
      <c r="P30" s="107"/>
      <c r="Q30" s="108"/>
    </row>
    <row r="31" spans="1:17" ht="15" customHeight="1" x14ac:dyDescent="0.2">
      <c r="A31" s="409"/>
      <c r="B31" s="406"/>
      <c r="C31" s="113">
        <f>CITL!B18</f>
        <v>0.30445795339412363</v>
      </c>
      <c r="D31" s="406"/>
      <c r="E31" s="114"/>
      <c r="F31" s="406"/>
      <c r="G31" s="113">
        <f>CITL!B18</f>
        <v>0.30445795339412363</v>
      </c>
      <c r="H31" s="406"/>
      <c r="I31" s="107"/>
      <c r="J31" s="107"/>
      <c r="K31" s="107"/>
      <c r="L31" s="107"/>
      <c r="M31" s="107"/>
      <c r="N31" s="107"/>
      <c r="O31" s="107"/>
      <c r="P31" s="107"/>
      <c r="Q31" s="108"/>
    </row>
    <row r="32" spans="1:17" ht="15" customHeight="1" x14ac:dyDescent="0.2">
      <c r="A32" s="97" t="str">
        <f>A11</f>
        <v>Bombeiro Civil (CBO 5171-10) - 30h</v>
      </c>
      <c r="B32" s="178">
        <f>Postos!J15*2</f>
        <v>11</v>
      </c>
      <c r="C32" s="128">
        <f>B32*$C$31</f>
        <v>3.3490374873353597</v>
      </c>
      <c r="D32" s="177">
        <f>ROUND((B32+C32),2)</f>
        <v>14.35</v>
      </c>
      <c r="E32" s="115"/>
      <c r="F32" s="129">
        <f>Postos!$H$15</f>
        <v>24.88</v>
      </c>
      <c r="G32" s="128">
        <f>F32*$G$31</f>
        <v>7.5749138804457958</v>
      </c>
      <c r="H32" s="177">
        <f>ROUND((F32+G32),2)</f>
        <v>32.450000000000003</v>
      </c>
      <c r="I32" s="107"/>
      <c r="J32" s="107"/>
      <c r="K32" s="107"/>
      <c r="L32" s="107"/>
      <c r="M32" s="107"/>
      <c r="N32" s="107"/>
      <c r="O32" s="107"/>
      <c r="P32" s="107"/>
      <c r="Q32" s="108"/>
    </row>
    <row r="33" spans="1:24" x14ac:dyDescent="0.2">
      <c r="A33" s="4"/>
      <c r="B33" s="4"/>
      <c r="C33" s="4"/>
      <c r="D33" s="4"/>
      <c r="E33" s="4"/>
      <c r="F33" s="4"/>
      <c r="G33" s="4"/>
      <c r="H33" s="4"/>
      <c r="I33" s="107"/>
      <c r="J33" s="107"/>
      <c r="K33" s="107"/>
      <c r="L33" s="107"/>
      <c r="M33" s="107"/>
      <c r="N33" s="107"/>
      <c r="O33" s="107"/>
      <c r="P33" s="107"/>
      <c r="Q33" s="108"/>
    </row>
    <row r="34" spans="1:24" ht="12.75" customHeight="1" x14ac:dyDescent="0.2">
      <c r="A34" s="417" t="s">
        <v>174</v>
      </c>
      <c r="B34" s="417"/>
      <c r="C34" s="417"/>
      <c r="D34" s="417"/>
      <c r="E34" s="417"/>
      <c r="F34" s="417"/>
      <c r="G34" s="417"/>
      <c r="H34" s="417"/>
      <c r="I34" s="107"/>
      <c r="J34" s="107"/>
      <c r="K34" s="107"/>
      <c r="L34" s="107"/>
      <c r="M34" s="107"/>
      <c r="N34" s="107"/>
      <c r="O34" s="107"/>
      <c r="P34" s="107"/>
      <c r="Q34" s="108"/>
    </row>
    <row r="35" spans="1:24" ht="12.75" customHeight="1" x14ac:dyDescent="0.2">
      <c r="A35" s="309" t="s">
        <v>175</v>
      </c>
      <c r="B35" s="309"/>
      <c r="C35" s="309"/>
      <c r="D35" s="309"/>
      <c r="E35" s="309"/>
      <c r="F35" s="309"/>
      <c r="G35" s="309"/>
      <c r="H35" s="309"/>
      <c r="I35" s="116"/>
      <c r="J35" s="116"/>
      <c r="K35" s="116"/>
      <c r="L35" s="116"/>
      <c r="M35" s="116"/>
      <c r="N35" s="116"/>
      <c r="O35" s="116"/>
      <c r="P35" s="116"/>
      <c r="Q35" s="116"/>
      <c r="R35" s="116"/>
    </row>
    <row r="36" spans="1:24" ht="12.75" customHeight="1" x14ac:dyDescent="0.2">
      <c r="A36" s="417" t="s">
        <v>176</v>
      </c>
      <c r="B36" s="417"/>
      <c r="C36" s="417"/>
      <c r="D36" s="417"/>
      <c r="E36" s="417"/>
      <c r="F36" s="417"/>
      <c r="G36" s="417"/>
      <c r="H36" s="417"/>
      <c r="I36" s="116"/>
      <c r="J36" s="116"/>
      <c r="K36" s="116"/>
      <c r="L36" s="116"/>
      <c r="M36" s="116"/>
      <c r="N36" s="116"/>
      <c r="O36" s="116"/>
      <c r="P36" s="116"/>
      <c r="Q36" s="116"/>
      <c r="R36" s="116"/>
    </row>
    <row r="37" spans="1:24" ht="12.75" customHeight="1" x14ac:dyDescent="0.2">
      <c r="A37" s="417" t="s">
        <v>177</v>
      </c>
      <c r="B37" s="417"/>
      <c r="C37" s="417"/>
      <c r="D37" s="417"/>
      <c r="E37" s="417"/>
      <c r="F37" s="417"/>
      <c r="G37" s="417"/>
      <c r="H37" s="417"/>
      <c r="I37" s="116"/>
      <c r="J37" s="116"/>
      <c r="K37" s="116"/>
      <c r="L37" s="116"/>
      <c r="M37" s="116"/>
      <c r="N37" s="116"/>
      <c r="O37" s="116"/>
      <c r="P37" s="116"/>
      <c r="Q37" s="116"/>
      <c r="R37" s="116"/>
    </row>
    <row r="38" spans="1:24" ht="12.75" customHeight="1" x14ac:dyDescent="0.2">
      <c r="A38" s="417" t="s">
        <v>178</v>
      </c>
      <c r="B38" s="417"/>
      <c r="C38" s="417"/>
      <c r="D38" s="417"/>
      <c r="E38" s="417"/>
      <c r="F38" s="417"/>
      <c r="G38" s="417"/>
      <c r="H38" s="417"/>
      <c r="Q38" s="116"/>
      <c r="R38" s="116"/>
      <c r="S38" s="117"/>
      <c r="T38" s="118"/>
    </row>
    <row r="39" spans="1:24" x14ac:dyDescent="0.2">
      <c r="A39" s="191" t="s">
        <v>179</v>
      </c>
      <c r="B39" s="191"/>
      <c r="C39" s="191"/>
      <c r="D39" s="191"/>
      <c r="E39" s="191"/>
      <c r="F39" s="191"/>
      <c r="G39" s="191"/>
      <c r="H39" s="191"/>
      <c r="Q39" s="116"/>
      <c r="R39" s="116"/>
      <c r="S39" s="117"/>
      <c r="T39" s="118"/>
    </row>
    <row r="40" spans="1:24" x14ac:dyDescent="0.2">
      <c r="A40" s="4"/>
      <c r="B40" s="4"/>
      <c r="C40" s="4"/>
      <c r="D40" s="4"/>
      <c r="E40" s="4"/>
      <c r="F40" s="4"/>
      <c r="G40" s="4"/>
      <c r="H40" s="4"/>
      <c r="Q40" s="116"/>
      <c r="R40" s="116"/>
      <c r="S40" s="117"/>
      <c r="T40" s="118"/>
      <c r="W40" s="119"/>
      <c r="X40" s="119"/>
    </row>
    <row r="41" spans="1:24" x14ac:dyDescent="0.2">
      <c r="A41" s="120"/>
      <c r="B41" s="116"/>
      <c r="C41" s="116"/>
      <c r="D41" s="116"/>
      <c r="E41" s="116"/>
      <c r="F41" s="116"/>
      <c r="G41" s="116"/>
      <c r="H41" s="116"/>
      <c r="R41" s="116"/>
      <c r="S41" s="117"/>
      <c r="T41" s="118"/>
    </row>
    <row r="42" spans="1:24" x14ac:dyDescent="0.2">
      <c r="A42" s="120"/>
      <c r="B42" s="116"/>
      <c r="C42" s="116"/>
      <c r="D42" s="116"/>
      <c r="E42" s="116"/>
      <c r="F42" s="116"/>
      <c r="G42" s="116"/>
      <c r="H42" s="116"/>
    </row>
    <row r="43" spans="1:24" x14ac:dyDescent="0.2">
      <c r="A43" s="120"/>
      <c r="B43" s="116"/>
      <c r="C43" s="116"/>
      <c r="D43" s="116"/>
      <c r="E43" s="116"/>
      <c r="F43" s="116"/>
      <c r="G43" s="116"/>
      <c r="H43" s="116"/>
      <c r="S43" s="117"/>
      <c r="T43" s="117"/>
    </row>
    <row r="51" spans="1:15" x14ac:dyDescent="0.2">
      <c r="I51" s="121"/>
      <c r="J51" s="121"/>
      <c r="K51" s="121"/>
      <c r="L51" s="121"/>
      <c r="M51" s="121"/>
      <c r="N51" s="121"/>
      <c r="O51" s="121"/>
    </row>
    <row r="56" spans="1:15" x14ac:dyDescent="0.2">
      <c r="G56" s="121"/>
      <c r="H56" s="121"/>
    </row>
    <row r="58" spans="1:15" x14ac:dyDescent="0.2">
      <c r="A58" s="122"/>
      <c r="B58" s="121"/>
      <c r="C58" s="121"/>
      <c r="D58" s="121"/>
      <c r="E58" s="121"/>
      <c r="F58" s="121"/>
    </row>
  </sheetData>
  <sheetProtection algorithmName="SHA-512" hashValue="5M2Dqo1VFhIGNEWf8XrvJMIBX1Mam0VVCPSokLsxsSZ3TLd/WoNaUhsbjYaCUH5kaG+XQxIHb04Y2+4VZjGMaw==" saltValue="FdDDCgJ83pgL4C9inLwINw==" spinCount="100000" sheet="1" objects="1" scenarios="1" selectLockedCells="1"/>
  <mergeCells count="44">
    <mergeCell ref="A34:H34"/>
    <mergeCell ref="A35:H35"/>
    <mergeCell ref="A36:H36"/>
    <mergeCell ref="A37:H37"/>
    <mergeCell ref="A38:H38"/>
    <mergeCell ref="A28:H28"/>
    <mergeCell ref="A29:D29"/>
    <mergeCell ref="F29:H29"/>
    <mergeCell ref="A30:A31"/>
    <mergeCell ref="B30:B31"/>
    <mergeCell ref="D30:D31"/>
    <mergeCell ref="F30:F31"/>
    <mergeCell ref="H30:H31"/>
    <mergeCell ref="A24:H24"/>
    <mergeCell ref="A25:A26"/>
    <mergeCell ref="B25:B26"/>
    <mergeCell ref="C25:C26"/>
    <mergeCell ref="F25:F26"/>
    <mergeCell ref="H25:H26"/>
    <mergeCell ref="A20:H20"/>
    <mergeCell ref="A21:A22"/>
    <mergeCell ref="B21:B22"/>
    <mergeCell ref="C21:C22"/>
    <mergeCell ref="F21:F22"/>
    <mergeCell ref="H21:H22"/>
    <mergeCell ref="A16:H16"/>
    <mergeCell ref="A17:A18"/>
    <mergeCell ref="B17:B18"/>
    <mergeCell ref="C17:C18"/>
    <mergeCell ref="F17:F18"/>
    <mergeCell ref="H17:H18"/>
    <mergeCell ref="A7:H7"/>
    <mergeCell ref="A8:H8"/>
    <mergeCell ref="A12:H12"/>
    <mergeCell ref="A13:A14"/>
    <mergeCell ref="B13:B14"/>
    <mergeCell ref="C13:C14"/>
    <mergeCell ref="F13:F14"/>
    <mergeCell ref="H13:H14"/>
    <mergeCell ref="A1:H1"/>
    <mergeCell ref="A2:H2"/>
    <mergeCell ref="A3:H3"/>
    <mergeCell ref="A5:H5"/>
    <mergeCell ref="A6:H6"/>
  </mergeCells>
  <dataValidations count="1">
    <dataValidation allowBlank="1" showInputMessage="1" showErrorMessage="1" errorTitle="Pare !!!" error="Pare !!!" sqref="T43">
      <formula1>0</formula1>
      <formula2>0</formula2>
    </dataValidation>
  </dataValidations>
  <printOptions horizontalCentered="1"/>
  <pageMargins left="0.11811023622047245" right="0.11811023622047245" top="0.67" bottom="0.27559055118110237" header="0.15748031496062992" footer="3.937007874015748E-2"/>
  <pageSetup paperSize="9" scale="65"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0"/>
  <sheetViews>
    <sheetView showGridLines="0" view="pageBreakPreview" zoomScaleNormal="100" workbookViewId="0">
      <selection activeCell="E24" sqref="E24"/>
    </sheetView>
  </sheetViews>
  <sheetFormatPr defaultRowHeight="12.75" x14ac:dyDescent="0.2"/>
  <cols>
    <col min="1" max="1" width="14.7109375" style="123" customWidth="1"/>
    <col min="2" max="2" width="39.28515625" style="137" customWidth="1"/>
    <col min="3" max="3" width="14.7109375" style="123" customWidth="1"/>
    <col min="4" max="4" width="59.28515625" style="123" customWidth="1"/>
    <col min="5" max="5" width="14.7109375" style="123" customWidth="1"/>
    <col min="6" max="6" width="14.140625" style="123" customWidth="1"/>
    <col min="7" max="10" width="17.140625" style="123" customWidth="1"/>
    <col min="11" max="11" width="19.85546875" style="123" customWidth="1"/>
    <col min="12" max="12" width="17.140625" style="123" customWidth="1"/>
    <col min="13" max="13" width="34.28515625" style="123" customWidth="1"/>
    <col min="14" max="14" width="17.7109375" style="123" customWidth="1"/>
    <col min="15" max="15" width="13.42578125" style="123" customWidth="1"/>
    <col min="16" max="17" width="11.42578125" style="123" customWidth="1"/>
    <col min="18" max="18" width="16.5703125" style="123" customWidth="1"/>
    <col min="19" max="1025" width="11.42578125" style="123" customWidth="1"/>
  </cols>
  <sheetData>
    <row r="1" spans="1:5" ht="18" x14ac:dyDescent="0.25">
      <c r="A1" s="344" t="str">
        <f>Postos!A1:W1</f>
        <v>TRIBUNAL REGIONAL ELEITORAL DO PARANÁ</v>
      </c>
      <c r="B1" s="344"/>
      <c r="C1" s="344"/>
      <c r="D1" s="344"/>
      <c r="E1" s="344"/>
    </row>
    <row r="2" spans="1:5" ht="15" customHeight="1" x14ac:dyDescent="0.2">
      <c r="A2" s="420" t="str">
        <f>Postos!A2:W2</f>
        <v>Planilha de Custos e Formação de Preços - Estimativa TRE-PR</v>
      </c>
      <c r="B2" s="420"/>
      <c r="C2" s="420"/>
      <c r="D2" s="420"/>
      <c r="E2" s="420"/>
    </row>
    <row r="3" spans="1:5" ht="15" customHeight="1" x14ac:dyDescent="0.2">
      <c r="A3" s="346" t="str">
        <f>Postos!A3:W3</f>
        <v>Serviços de Bombeiro Civil</v>
      </c>
      <c r="B3" s="346"/>
      <c r="C3" s="346"/>
      <c r="D3" s="346"/>
      <c r="E3" s="346"/>
    </row>
    <row r="4" spans="1:5" ht="15" customHeight="1" x14ac:dyDescent="0.2">
      <c r="A4" s="182"/>
      <c r="B4" s="183"/>
      <c r="C4" s="182"/>
      <c r="D4" s="182"/>
      <c r="E4" s="182"/>
    </row>
    <row r="5" spans="1:5" ht="15" customHeight="1" x14ac:dyDescent="0.2">
      <c r="A5" s="421" t="str">
        <f>Postos!A9:W9</f>
        <v>Empresa</v>
      </c>
      <c r="B5" s="421"/>
      <c r="C5" s="421"/>
      <c r="D5" s="421"/>
      <c r="E5" s="421"/>
    </row>
    <row r="6" spans="1:5" ht="15" customHeight="1" x14ac:dyDescent="0.2">
      <c r="A6" s="422" t="str">
        <f>Postos!A10:W10</f>
        <v>CNPJ</v>
      </c>
      <c r="B6" s="422"/>
      <c r="C6" s="422"/>
      <c r="D6" s="422"/>
      <c r="E6" s="422"/>
    </row>
    <row r="7" spans="1:5" ht="15" customHeight="1" x14ac:dyDescent="0.2">
      <c r="A7" s="418"/>
      <c r="B7" s="418"/>
      <c r="C7" s="418"/>
      <c r="D7" s="418"/>
      <c r="E7" s="418"/>
    </row>
    <row r="8" spans="1:5" s="124" customFormat="1" ht="25.5" customHeight="1" x14ac:dyDescent="0.2">
      <c r="A8" s="360" t="s">
        <v>180</v>
      </c>
      <c r="B8" s="360"/>
      <c r="C8" s="360"/>
      <c r="D8" s="360"/>
      <c r="E8" s="360"/>
    </row>
    <row r="9" spans="1:5" ht="45" customHeight="1" x14ac:dyDescent="0.2">
      <c r="A9" s="130"/>
      <c r="B9" s="419" t="str">
        <f>Postos!A17</f>
        <v>Bombeiro Civil (CBO 5171-10) - 30h</v>
      </c>
      <c r="C9" s="419"/>
      <c r="D9" s="419"/>
      <c r="E9" s="130"/>
    </row>
    <row r="10" spans="1:5" ht="15" customHeight="1" x14ac:dyDescent="0.2">
      <c r="A10" s="130"/>
      <c r="B10" s="131"/>
      <c r="C10" s="130"/>
      <c r="D10" s="130"/>
      <c r="E10" s="130"/>
    </row>
    <row r="11" spans="1:5" s="125" customFormat="1" ht="15" customHeight="1" x14ac:dyDescent="0.2">
      <c r="A11" s="132"/>
      <c r="B11" s="133" t="s">
        <v>193</v>
      </c>
      <c r="C11" s="39">
        <v>0</v>
      </c>
      <c r="D11" s="184"/>
      <c r="E11" s="132"/>
    </row>
    <row r="12" spans="1:5" s="125" customFormat="1" ht="15" customHeight="1" x14ac:dyDescent="0.2">
      <c r="A12" s="132"/>
      <c r="B12" s="133" t="s">
        <v>194</v>
      </c>
      <c r="C12" s="39">
        <v>0</v>
      </c>
      <c r="D12" s="184"/>
      <c r="E12" s="132"/>
    </row>
    <row r="13" spans="1:5" s="125" customFormat="1" ht="15" customHeight="1" x14ac:dyDescent="0.2">
      <c r="A13" s="132"/>
      <c r="B13" s="132"/>
      <c r="C13" s="132"/>
      <c r="D13" s="132"/>
      <c r="E13" s="132"/>
    </row>
    <row r="14" spans="1:5" s="125" customFormat="1" ht="15" customHeight="1" x14ac:dyDescent="0.2">
      <c r="A14" s="132"/>
      <c r="B14" s="181" t="s">
        <v>181</v>
      </c>
      <c r="C14" s="138">
        <f>ROUND(((Postos!B17)/30*C11),2)</f>
        <v>0</v>
      </c>
      <c r="D14" s="134" t="s">
        <v>182</v>
      </c>
      <c r="E14" s="132"/>
    </row>
    <row r="15" spans="1:5" s="125" customFormat="1" ht="15" customHeight="1" x14ac:dyDescent="0.2">
      <c r="A15" s="132"/>
      <c r="B15" s="181" t="s">
        <v>183</v>
      </c>
      <c r="C15" s="138">
        <f>ROUND((('Encargos Sociais'!$F$23/100)*C14),2)</f>
        <v>0</v>
      </c>
      <c r="D15" s="134" t="s">
        <v>184</v>
      </c>
      <c r="E15" s="132"/>
    </row>
    <row r="16" spans="1:5" s="125" customFormat="1" ht="15" customHeight="1" x14ac:dyDescent="0.2">
      <c r="A16" s="132"/>
      <c r="B16" s="181" t="s">
        <v>185</v>
      </c>
      <c r="C16" s="138">
        <f>Postos!$H$15*C12</f>
        <v>0</v>
      </c>
      <c r="D16" s="134" t="s">
        <v>186</v>
      </c>
      <c r="E16" s="132"/>
    </row>
    <row r="17" spans="1:5" s="125" customFormat="1" ht="15" customHeight="1" x14ac:dyDescent="0.2">
      <c r="A17" s="132"/>
      <c r="B17" s="181" t="s">
        <v>187</v>
      </c>
      <c r="C17" s="138">
        <f>(Postos!$J$15*Postos!$K$15)*C12</f>
        <v>0</v>
      </c>
      <c r="D17" s="134" t="s">
        <v>188</v>
      </c>
      <c r="E17" s="132"/>
    </row>
    <row r="18" spans="1:5" s="125" customFormat="1" ht="15" customHeight="1" x14ac:dyDescent="0.2">
      <c r="A18" s="132"/>
      <c r="B18" s="1" t="s">
        <v>189</v>
      </c>
      <c r="C18" s="139">
        <f>SUM(C14:C17)</f>
        <v>0</v>
      </c>
      <c r="D18" s="135"/>
      <c r="E18" s="132"/>
    </row>
    <row r="19" spans="1:5" s="125" customFormat="1" ht="15" customHeight="1" x14ac:dyDescent="0.2">
      <c r="A19" s="132"/>
      <c r="B19" s="181" t="s">
        <v>190</v>
      </c>
      <c r="C19" s="138">
        <f>ROUND((CITL!$B$18*C18),2)</f>
        <v>0</v>
      </c>
      <c r="D19" s="134" t="s">
        <v>191</v>
      </c>
      <c r="E19" s="132"/>
    </row>
    <row r="20" spans="1:5" s="125" customFormat="1" ht="15" customHeight="1" x14ac:dyDescent="0.2">
      <c r="A20" s="132"/>
      <c r="B20" s="1" t="s">
        <v>192</v>
      </c>
      <c r="C20" s="139">
        <f>C18+C19</f>
        <v>0</v>
      </c>
      <c r="D20" s="136"/>
      <c r="E20" s="132"/>
    </row>
  </sheetData>
  <sheetProtection algorithmName="SHA-512" hashValue="h/al/koMwxOABxoeZLUlDb7Hsrjnjzd4iZrZuQMGdrwY6qk1vgmXV5ajcM4Gremqo8kxODhLX5tzNXAVxQas2A==" saltValue="gAKBIxDJeti2NHUtjP0OPA==" spinCount="100000" sheet="1" objects="1" scenarios="1" selectLockedCells="1"/>
  <mergeCells count="8">
    <mergeCell ref="A7:E7"/>
    <mergeCell ref="A8:E8"/>
    <mergeCell ref="B9:D9"/>
    <mergeCell ref="A1:E1"/>
    <mergeCell ref="A2:E2"/>
    <mergeCell ref="A3:E3"/>
    <mergeCell ref="A5:E5"/>
    <mergeCell ref="A6:E6"/>
  </mergeCells>
  <printOptions horizontalCentered="1"/>
  <pageMargins left="0.23622047244094491" right="0.19685039370078741" top="0.73" bottom="0.27559055118110237" header="0.19685039370078741" footer="7.874015748031496E-2"/>
  <pageSetup paperSize="9" scale="69"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Template/>
  <TotalTime>163</TotalTime>
  <Application>Microsoft Excel</Application>
  <DocSecurity>0</DocSecurity>
  <ScaleCrop>false</ScaleCrop>
  <HeadingPairs>
    <vt:vector size="4" baseType="variant">
      <vt:variant>
        <vt:lpstr>Planilhas</vt:lpstr>
      </vt:variant>
      <vt:variant>
        <vt:i4>6</vt:i4>
      </vt:variant>
      <vt:variant>
        <vt:lpstr>Intervalos nomeados</vt:lpstr>
      </vt:variant>
      <vt:variant>
        <vt:i4>9</vt:i4>
      </vt:variant>
    </vt:vector>
  </HeadingPairs>
  <TitlesOfParts>
    <vt:vector size="15" baseType="lpstr">
      <vt:lpstr>Postos</vt:lpstr>
      <vt:lpstr>Encargos Sociais</vt:lpstr>
      <vt:lpstr>CITL</vt:lpstr>
      <vt:lpstr>Insumos</vt:lpstr>
      <vt:lpstr>Hora Extra</vt:lpstr>
      <vt:lpstr>Fiscalização</vt:lpstr>
      <vt:lpstr>CITL!Area_de_impressao</vt:lpstr>
      <vt:lpstr>'Encargos Sociais'!Area_de_impressao</vt:lpstr>
      <vt:lpstr>Fiscalização!Area_de_impressao</vt:lpstr>
      <vt:lpstr>'Hora Extra'!Area_de_impressao</vt:lpstr>
      <vt:lpstr>Insumos!Area_de_impressao</vt:lpstr>
      <vt:lpstr>Postos!Area_de_impressao</vt:lpstr>
      <vt:lpstr>'Encargos Sociais'!Titulos_de_impressao</vt:lpstr>
      <vt:lpstr>'Hora Extra'!Titulos_de_impressao</vt:lpstr>
      <vt:lpstr>Insumos!Titulos_de_impressao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Maria</dc:creator>
  <dc:description/>
  <cp:lastModifiedBy>Eduardo</cp:lastModifiedBy>
  <cp:revision>2</cp:revision>
  <cp:lastPrinted>2022-08-23T17:07:48Z</cp:lastPrinted>
  <dcterms:created xsi:type="dcterms:W3CDTF">2002-06-10T15:51:10Z</dcterms:created>
  <dcterms:modified xsi:type="dcterms:W3CDTF">2022-08-23T17:08:37Z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