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DOCUMENTOS - TRE\COLABORAÇÃO\SLIC_PLANILHAS_DE_CONTROLE\Controles SLIC\Arquivos Editais\LICITAÇÕES 2021\PE 57\"/>
    </mc:Choice>
  </mc:AlternateContent>
  <bookViews>
    <workbookView xWindow="0" yWindow="0" windowWidth="16380" windowHeight="7455" tabRatio="500"/>
  </bookViews>
  <sheets>
    <sheet name="Carreg, Recep e Enc " sheetId="2" r:id="rId1"/>
    <sheet name="Encargos Sociais" sheetId="4" r:id="rId2"/>
    <sheet name="CITL" sheetId="5" r:id="rId3"/>
    <sheet name="Insumos" sheetId="6" r:id="rId4"/>
    <sheet name="Hora Extra" sheetId="7" r:id="rId5"/>
    <sheet name="FISCALIZAÇÃO" sheetId="8" r:id="rId6"/>
  </sheets>
  <definedNames>
    <definedName name="_xlnm.Print_Area" localSheetId="0">'Carreg, Recep e Enc '!$A$1:$R$48</definedName>
    <definedName name="_xlnm.Print_Area" localSheetId="2">CITL!$A$1:$B$21</definedName>
    <definedName name="_xlnm.Print_Area" localSheetId="1">'Encargos Sociais'!$A$1:$H$70</definedName>
    <definedName name="_xlnm.Print_Area" localSheetId="5">FISCALIZAÇÃO!$A$1:$E$44</definedName>
    <definedName name="_xlnm.Print_Area" localSheetId="4">'Hora Extra'!$A$1:$H$51</definedName>
    <definedName name="_xlnm.Print_Area" localSheetId="3">Insumos!$A$1:$J$50</definedName>
    <definedName name="_xlnm.Print_Titles" localSheetId="1">'Encargos Sociais'!$1:$4</definedName>
    <definedName name="_xlnm.Print_Titles" localSheetId="4">'Hora Extra'!$1:$3</definedName>
  </definedNames>
  <calcPr calcId="152511"/>
  <extLst>
    <ext xmlns:loext="http://schemas.libreoffice.org/" uri="{7626C862-2A13-11E5-B345-FEFF819CDC9F}">
      <loext:extCalcPr stringRefSyntax="ExcelA1"/>
    </ext>
  </extLst>
</workbook>
</file>

<file path=xl/calcChain.xml><?xml version="1.0" encoding="utf-8"?>
<calcChain xmlns="http://schemas.openxmlformats.org/spreadsheetml/2006/main">
  <c r="E23" i="2" l="1"/>
  <c r="E21" i="2"/>
  <c r="E18" i="2"/>
  <c r="E19" i="2"/>
  <c r="E17" i="2"/>
  <c r="A6" i="8" l="1"/>
  <c r="A5" i="8"/>
  <c r="A3" i="8"/>
  <c r="A2" i="8"/>
  <c r="A1" i="8"/>
  <c r="A6" i="7"/>
  <c r="A5" i="7"/>
  <c r="A3" i="7"/>
  <c r="A2" i="7"/>
  <c r="A1" i="7"/>
  <c r="A3" i="6"/>
  <c r="A2" i="6"/>
  <c r="A3" i="5"/>
  <c r="A2" i="5"/>
  <c r="A6" i="4"/>
  <c r="A5" i="4"/>
  <c r="A3" i="4"/>
  <c r="A2" i="4"/>
  <c r="A1" i="4"/>
  <c r="C41" i="8" l="1"/>
  <c r="C40" i="8"/>
  <c r="C29" i="8"/>
  <c r="C28" i="8"/>
  <c r="C17" i="8"/>
  <c r="C16" i="8"/>
  <c r="J37" i="6"/>
  <c r="D37" i="6" s="1"/>
  <c r="E37" i="6" s="1"/>
  <c r="J38" i="6"/>
  <c r="D38" i="6" s="1"/>
  <c r="E38" i="6" s="1"/>
  <c r="J39" i="6"/>
  <c r="D39" i="6" s="1"/>
  <c r="E39" i="6" s="1"/>
  <c r="J36" i="6"/>
  <c r="D36" i="6" s="1"/>
  <c r="E36" i="6" s="1"/>
  <c r="J35" i="6"/>
  <c r="D35" i="6" s="1"/>
  <c r="E35" i="6" s="1"/>
  <c r="J29" i="6"/>
  <c r="D29" i="6" s="1"/>
  <c r="J30" i="6"/>
  <c r="D30" i="6" s="1"/>
  <c r="J31" i="6"/>
  <c r="D31" i="6" s="1"/>
  <c r="J28" i="6"/>
  <c r="D28" i="6" s="1"/>
  <c r="J27" i="6"/>
  <c r="D27" i="6" s="1"/>
  <c r="J21" i="6"/>
  <c r="D21" i="6" s="1"/>
  <c r="E21" i="6" s="1"/>
  <c r="J22" i="6"/>
  <c r="D22" i="6" s="1"/>
  <c r="J23" i="6"/>
  <c r="D23" i="6" s="1"/>
  <c r="D48" i="6" s="1"/>
  <c r="J20" i="6"/>
  <c r="D20" i="6" s="1"/>
  <c r="J19" i="6"/>
  <c r="D19" i="6" s="1"/>
  <c r="D44" i="6" s="1"/>
  <c r="E44" i="6" s="1"/>
  <c r="J15" i="6"/>
  <c r="F44" i="7"/>
  <c r="B44" i="7"/>
  <c r="F43" i="7"/>
  <c r="B43" i="7"/>
  <c r="F42" i="7"/>
  <c r="B42" i="7"/>
  <c r="A13" i="7"/>
  <c r="A25" i="7" s="1"/>
  <c r="A12" i="7"/>
  <c r="A30" i="7" s="1"/>
  <c r="A11" i="7"/>
  <c r="A35" i="7" s="1"/>
  <c r="B48" i="6"/>
  <c r="B47" i="6"/>
  <c r="B46" i="6"/>
  <c r="B45" i="6"/>
  <c r="B44" i="6"/>
  <c r="J5" i="6"/>
  <c r="A1" i="6"/>
  <c r="B18" i="5"/>
  <c r="A1" i="5"/>
  <c r="F57" i="4"/>
  <c r="F46" i="4"/>
  <c r="F43" i="4"/>
  <c r="F42" i="4"/>
  <c r="F29" i="4"/>
  <c r="F21" i="4"/>
  <c r="F23" i="4" s="1"/>
  <c r="L23" i="2"/>
  <c r="L21" i="2"/>
  <c r="L19" i="2"/>
  <c r="B19" i="2"/>
  <c r="G19" i="2" s="1"/>
  <c r="L18" i="2"/>
  <c r="B18" i="2"/>
  <c r="I18" i="2" s="1"/>
  <c r="L17" i="2"/>
  <c r="B17" i="2"/>
  <c r="K17" i="2" s="1"/>
  <c r="Q15" i="2"/>
  <c r="J6" i="6"/>
  <c r="E23" i="6" l="1"/>
  <c r="E48" i="6"/>
  <c r="D15" i="6"/>
  <c r="E15" i="6" s="1"/>
  <c r="E16" i="6" s="1"/>
  <c r="M17" i="2" s="1"/>
  <c r="J19" i="2"/>
  <c r="J17" i="2"/>
  <c r="A29" i="7"/>
  <c r="I17" i="2"/>
  <c r="K18" i="2"/>
  <c r="C26" i="8"/>
  <c r="C27" i="8" s="1"/>
  <c r="C30" i="8" s="1"/>
  <c r="C31" i="8" s="1"/>
  <c r="A17" i="7"/>
  <c r="C38" i="8"/>
  <c r="C39" i="8" s="1"/>
  <c r="C42" i="8" s="1"/>
  <c r="C43" i="8" s="1"/>
  <c r="A19" i="7"/>
  <c r="A42" i="7"/>
  <c r="E34" i="7"/>
  <c r="F36" i="4"/>
  <c r="F37" i="4" s="1"/>
  <c r="F65" i="4" s="1"/>
  <c r="F45" i="4"/>
  <c r="E22" i="7"/>
  <c r="E40" i="6"/>
  <c r="N19" i="2" s="1"/>
  <c r="E22" i="6"/>
  <c r="D47" i="6"/>
  <c r="E47" i="6" s="1"/>
  <c r="E20" i="6"/>
  <c r="D45" i="6"/>
  <c r="E45" i="6" s="1"/>
  <c r="E30" i="6"/>
  <c r="E28" i="6"/>
  <c r="A5" i="5"/>
  <c r="A8" i="6"/>
  <c r="B35" i="7"/>
  <c r="C35" i="7" s="1"/>
  <c r="B23" i="7"/>
  <c r="C23" i="7" s="1"/>
  <c r="C14" i="8"/>
  <c r="B29" i="7"/>
  <c r="C29" i="7" s="1"/>
  <c r="B17" i="7"/>
  <c r="C17" i="7" s="1"/>
  <c r="B23" i="2"/>
  <c r="G17" i="2"/>
  <c r="B36" i="7"/>
  <c r="C36" i="7" s="1"/>
  <c r="B24" i="7"/>
  <c r="C24" i="7" s="1"/>
  <c r="B30" i="7"/>
  <c r="C30" i="7" s="1"/>
  <c r="B18" i="7"/>
  <c r="C18" i="7" s="1"/>
  <c r="J18" i="2"/>
  <c r="G18" i="2"/>
  <c r="B37" i="7"/>
  <c r="C37" i="7" s="1"/>
  <c r="B25" i="7"/>
  <c r="C25" i="7" s="1"/>
  <c r="I19" i="2"/>
  <c r="B31" i="7"/>
  <c r="C31" i="7" s="1"/>
  <c r="B19" i="7"/>
  <c r="C19" i="7" s="1"/>
  <c r="K19" i="2"/>
  <c r="B21" i="2"/>
  <c r="F48" i="4"/>
  <c r="F66" i="4" s="1"/>
  <c r="E19" i="6"/>
  <c r="E31" i="6"/>
  <c r="A43" i="7"/>
  <c r="A36" i="7"/>
  <c r="A24" i="7"/>
  <c r="A18" i="7"/>
  <c r="A6" i="5"/>
  <c r="A9" i="6"/>
  <c r="E28" i="7"/>
  <c r="E16" i="7"/>
  <c r="F63" i="4"/>
  <c r="F58" i="4"/>
  <c r="F59" i="4" s="1"/>
  <c r="F67" i="4" s="1"/>
  <c r="G41" i="7"/>
  <c r="G42" i="7" s="1"/>
  <c r="H42" i="7" s="1"/>
  <c r="G28" i="7"/>
  <c r="G16" i="7"/>
  <c r="C41" i="7"/>
  <c r="C43" i="7" s="1"/>
  <c r="D43" i="7" s="1"/>
  <c r="G34" i="7"/>
  <c r="G22" i="7"/>
  <c r="E27" i="6"/>
  <c r="D46" i="6"/>
  <c r="E46" i="6" s="1"/>
  <c r="A44" i="7"/>
  <c r="F30" i="4"/>
  <c r="F31" i="4" s="1"/>
  <c r="F64" i="4" s="1"/>
  <c r="E29" i="6"/>
  <c r="A23" i="7"/>
  <c r="E49" i="6" l="1"/>
  <c r="N21" i="2" s="1"/>
  <c r="O19" i="2"/>
  <c r="A37" i="7"/>
  <c r="A31" i="7"/>
  <c r="E32" i="6"/>
  <c r="N18" i="2" s="1"/>
  <c r="O18" i="2" s="1"/>
  <c r="E24" i="6"/>
  <c r="N17" i="2" s="1"/>
  <c r="O17" i="2" s="1"/>
  <c r="C32" i="8"/>
  <c r="D18" i="7"/>
  <c r="I21" i="2"/>
  <c r="G23" i="2"/>
  <c r="K21" i="2"/>
  <c r="G21" i="2"/>
  <c r="J21" i="2"/>
  <c r="D37" i="7"/>
  <c r="E37" i="7" s="1"/>
  <c r="F37" i="7" s="1"/>
  <c r="J23" i="2"/>
  <c r="K23" i="2"/>
  <c r="I23" i="2"/>
  <c r="C42" i="7"/>
  <c r="D42" i="7" s="1"/>
  <c r="C15" i="8"/>
  <c r="C18" i="8" s="1"/>
  <c r="C19" i="8" s="1"/>
  <c r="D24" i="7"/>
  <c r="E24" i="7" s="1"/>
  <c r="F24" i="7" s="1"/>
  <c r="D17" i="7"/>
  <c r="E17" i="7" s="1"/>
  <c r="F17" i="7" s="1"/>
  <c r="D35" i="7"/>
  <c r="C44" i="7"/>
  <c r="D44" i="7" s="1"/>
  <c r="D19" i="7"/>
  <c r="E19" i="7" s="1"/>
  <c r="F19" i="7" s="1"/>
  <c r="D25" i="7"/>
  <c r="E25" i="7" s="1"/>
  <c r="G44" i="7"/>
  <c r="H44" i="7" s="1"/>
  <c r="G43" i="7"/>
  <c r="H43" i="7" s="1"/>
  <c r="D31" i="7"/>
  <c r="E31" i="7" s="1"/>
  <c r="F31" i="7" s="1"/>
  <c r="D30" i="7"/>
  <c r="E30" i="7" s="1"/>
  <c r="F30" i="7" s="1"/>
  <c r="D23" i="7"/>
  <c r="C44" i="8"/>
  <c r="F68" i="4"/>
  <c r="D36" i="7"/>
  <c r="E36" i="7" s="1"/>
  <c r="F36" i="7" s="1"/>
  <c r="D29" i="7"/>
  <c r="E29" i="7" s="1"/>
  <c r="F29" i="7" s="1"/>
  <c r="O21" i="2" l="1"/>
  <c r="O23" i="2"/>
  <c r="C20" i="8"/>
  <c r="G29" i="7"/>
  <c r="H29" i="7" s="1"/>
  <c r="G17" i="7"/>
  <c r="H17" i="7" s="1"/>
  <c r="G36" i="7"/>
  <c r="H36" i="7" s="1"/>
  <c r="G30" i="7"/>
  <c r="H30" i="7" s="1"/>
  <c r="G37" i="7"/>
  <c r="H37" i="7" s="1"/>
  <c r="G31" i="7"/>
  <c r="H31" i="7" s="1"/>
  <c r="G19" i="7"/>
  <c r="H19" i="7" s="1"/>
  <c r="G24" i="7"/>
  <c r="H24" i="7" s="1"/>
  <c r="E35" i="7"/>
  <c r="F35" i="7" s="1"/>
  <c r="C15" i="2"/>
  <c r="E23" i="7"/>
  <c r="F23" i="7" s="1"/>
  <c r="F25" i="7"/>
  <c r="E18" i="7"/>
  <c r="F18" i="7" s="1"/>
  <c r="G23" i="7" l="1"/>
  <c r="H23" i="7" s="1"/>
  <c r="G18" i="7"/>
  <c r="H18" i="7" s="1"/>
  <c r="C18" i="2"/>
  <c r="D18" i="2" s="1"/>
  <c r="P18" i="2" s="1"/>
  <c r="C17" i="2"/>
  <c r="D17" i="2" s="1"/>
  <c r="P17" i="2" s="1"/>
  <c r="C19" i="2"/>
  <c r="D19" i="2" s="1"/>
  <c r="P19" i="2" s="1"/>
  <c r="C23" i="2"/>
  <c r="D23" i="2" s="1"/>
  <c r="P23" i="2" s="1"/>
  <c r="C21" i="2"/>
  <c r="D21" i="2" s="1"/>
  <c r="P21" i="2" s="1"/>
  <c r="G35" i="7"/>
  <c r="H35" i="7" s="1"/>
  <c r="G25" i="7"/>
  <c r="H25" i="7" s="1"/>
  <c r="Q21" i="2" l="1"/>
  <c r="R21" i="2" s="1"/>
  <c r="B36" i="2" s="1"/>
  <c r="D36" i="2" s="1"/>
  <c r="G36" i="2" s="1"/>
  <c r="Q18" i="2"/>
  <c r="R18" i="2" s="1"/>
  <c r="B32" i="2" s="1"/>
  <c r="D32" i="2" s="1"/>
  <c r="G32" i="2" s="1"/>
  <c r="Q19" i="2"/>
  <c r="R19" i="2" s="1"/>
  <c r="B33" i="2" s="1"/>
  <c r="D33" i="2" s="1"/>
  <c r="G33" i="2" s="1"/>
  <c r="Q17" i="2"/>
  <c r="R17" i="2" s="1"/>
  <c r="B31" i="2" s="1"/>
  <c r="D31" i="2" s="1"/>
  <c r="Q23" i="2"/>
  <c r="R23" i="2" s="1"/>
  <c r="B38" i="2" s="1"/>
  <c r="D38" i="2" s="1"/>
  <c r="G38" i="2" s="1"/>
  <c r="G31" i="2" l="1"/>
  <c r="L38" i="2" s="1"/>
  <c r="D34" i="2"/>
</calcChain>
</file>

<file path=xl/comments1.xml><?xml version="1.0" encoding="utf-8"?>
<comments xmlns="http://schemas.openxmlformats.org/spreadsheetml/2006/main">
  <authors>
    <author>Ana Maria</author>
  </authors>
  <commentList>
    <comment ref="G13" authorId="0" shapeId="0">
      <text>
        <r>
          <rPr>
            <sz val="9"/>
            <color indexed="81"/>
            <rFont val="Segoe UI"/>
            <family val="2"/>
          </rPr>
          <t>NAPEM
Se não tiver preço, deixe o campo em branco. Caso informe R$0,00, a fórmula calculará a Média com o 0,00.</t>
        </r>
      </text>
    </comment>
    <comment ref="E43" authorId="0" shapeId="0">
      <text>
        <r>
          <rPr>
            <sz val="9"/>
            <color indexed="81"/>
            <rFont val="Segoe UI"/>
            <family val="2"/>
          </rPr>
          <t>O Uniforme é inteiramente liquidado no 1º Turno por que o demandante definiu que se não houver 2º Turno não precisará dos serviços. Ou seja, temos que pagar os uniformes no 1º Turno.</t>
        </r>
      </text>
    </comment>
  </commentList>
</comments>
</file>

<file path=xl/sharedStrings.xml><?xml version="1.0" encoding="utf-8"?>
<sst xmlns="http://schemas.openxmlformats.org/spreadsheetml/2006/main" count="357" uniqueCount="258">
  <si>
    <t>Planilha de Custos e Formação de Preços - Estimativa TRE-PR</t>
  </si>
  <si>
    <t>PAD:</t>
  </si>
  <si>
    <t>12677/2021</t>
  </si>
  <si>
    <t>Licitação:</t>
  </si>
  <si>
    <t>Data da Proposta:</t>
  </si>
  <si>
    <t>Empresa</t>
  </si>
  <si>
    <t>CNPJ</t>
  </si>
  <si>
    <t>PERÍODO REGULAR</t>
  </si>
  <si>
    <t>Item</t>
  </si>
  <si>
    <t>Vigência
(Meses)</t>
  </si>
  <si>
    <t>Carregadores (CBO: 7832-15) - 32:30h</t>
  </si>
  <si>
    <t>Recepcionistas (CBO: 4221-05) - 35h</t>
  </si>
  <si>
    <t>PERÍODO ELEITORAL - 1º Turno (de 15 de Julho a 14 de Outubro)</t>
  </si>
  <si>
    <t>PERÍODO ELEITORAL - 2º Turno (de 15 de Outubro a 14 de Novembro)</t>
  </si>
  <si>
    <t>Valor Total Contratual:</t>
  </si>
  <si>
    <t>TRIBUNAL REGIONAL ELEITORAL DO PARANÁ</t>
  </si>
  <si>
    <t>Serviços de Carregador, Recepcionista e Encarregado</t>
  </si>
  <si>
    <t>DESCRIÇÃO DO SERVIÇO</t>
  </si>
  <si>
    <t xml:space="preserve">MONTANTE A </t>
  </si>
  <si>
    <t>MONTANTE A</t>
  </si>
  <si>
    <t xml:space="preserve">MONTANTE B </t>
  </si>
  <si>
    <t>MONTANTE B</t>
  </si>
  <si>
    <t>A + B</t>
  </si>
  <si>
    <t>CITL - CUSTOS INDIRETOS, TRIBUTOS E LUCRO
(Vide Aba)</t>
  </si>
  <si>
    <t>VALOR DO POSTO - UNITÁRIO MENSAL
(A+B+CITL)</t>
  </si>
  <si>
    <t>SALÁRIO</t>
  </si>
  <si>
    <t>ENCARGOS E PROVISÕES</t>
  </si>
  <si>
    <t>AUXÍLIO ALIMENTAÇÃO (Mensal)</t>
  </si>
  <si>
    <t xml:space="preserve">AUXÍLIO TRANSPORTE (Mensal) </t>
  </si>
  <si>
    <t>BENEFÍCIO SOCIAL ODONTOLÓG.</t>
  </si>
  <si>
    <t>BENEFÍCIO SOCIAL FAMILIAR</t>
  </si>
  <si>
    <t>EXAMES ADMISSIONAIS - ASO/PPRA/PCMSO</t>
  </si>
  <si>
    <t>FUNDO DE QUALIFICAÇÃO PROFISSIONAL - FQP</t>
  </si>
  <si>
    <t>INSUMOS EQUIPAM.</t>
  </si>
  <si>
    <t>INSUMOS UNIFORMES</t>
  </si>
  <si>
    <t>Valor do V.A.</t>
  </si>
  <si>
    <t>Desc. (%)</t>
  </si>
  <si>
    <t>Valor do V.T.</t>
  </si>
  <si>
    <t>Quant. Diária</t>
  </si>
  <si>
    <t>Encarregado (CBO: 4101-05) – 32:30h</t>
  </si>
  <si>
    <t>Carregadores (CBO:7832-15) - 32:30h</t>
  </si>
  <si>
    <t>Convenção Coletiva de Trabalho utilizada como referência:</t>
  </si>
  <si>
    <t>CCT SINEEPRES 2021/2022 - MTE PR000751/2021</t>
  </si>
  <si>
    <t>Vigência da CCT:</t>
  </si>
  <si>
    <t>1º/3/2021 a 28/2/2022</t>
  </si>
  <si>
    <r>
      <rPr>
        <b/>
        <sz val="10"/>
        <rFont val="Arial"/>
        <family val="2"/>
        <charset val="1"/>
      </rPr>
      <t>Dias úteis = 21:</t>
    </r>
    <r>
      <rPr>
        <sz val="10"/>
        <rFont val="Arial"/>
        <family val="2"/>
        <charset val="1"/>
      </rPr>
      <t xml:space="preserve"> [ ( 365 / 7 ) X 5 - 9 ] / 12 = 20,98 (Acórdão TCU nº 1904/07 Plenário).</t>
    </r>
  </si>
  <si>
    <r>
      <rPr>
        <b/>
        <sz val="10"/>
        <rFont val="Arial"/>
        <family val="2"/>
        <charset val="1"/>
      </rPr>
      <t>Auxílio Alimentação:</t>
    </r>
    <r>
      <rPr>
        <sz val="10"/>
        <rFont val="Arial"/>
        <family val="2"/>
        <charset val="1"/>
      </rPr>
      <t xml:space="preserve"> CCT 2021, 11ª (VA * 21)</t>
    </r>
  </si>
  <si>
    <r>
      <rPr>
        <b/>
        <sz val="10"/>
        <rFont val="Arial"/>
        <family val="2"/>
        <charset val="1"/>
      </rPr>
      <t xml:space="preserve">Outros benefícios: </t>
    </r>
    <r>
      <rPr>
        <sz val="10"/>
        <rFont val="Arial"/>
        <family val="2"/>
        <charset val="1"/>
      </rPr>
      <t>Fundo de Formação Profissional - CCT 2021, 19ª.</t>
    </r>
  </si>
  <si>
    <r>
      <rPr>
        <b/>
        <sz val="10"/>
        <rFont val="Arial"/>
        <family val="2"/>
        <charset val="1"/>
      </rPr>
      <t xml:space="preserve">Outros benefícios: </t>
    </r>
    <r>
      <rPr>
        <sz val="10"/>
        <rFont val="Arial"/>
        <family val="2"/>
        <charset val="1"/>
      </rPr>
      <t>Benefício Social</t>
    </r>
    <r>
      <rPr>
        <b/>
        <sz val="10"/>
        <rFont val="Arial"/>
        <family val="2"/>
        <charset val="1"/>
      </rPr>
      <t xml:space="preserve"> </t>
    </r>
    <r>
      <rPr>
        <sz val="10"/>
        <rFont val="Arial"/>
        <family val="2"/>
        <charset val="1"/>
      </rPr>
      <t>Odontológico - CCT 2021, 13ª.</t>
    </r>
  </si>
  <si>
    <r>
      <rPr>
        <b/>
        <sz val="10"/>
        <rFont val="Arial"/>
        <family val="2"/>
        <charset val="1"/>
      </rPr>
      <t xml:space="preserve">Outros benefícios: </t>
    </r>
    <r>
      <rPr>
        <sz val="10"/>
        <rFont val="Arial"/>
        <family val="2"/>
        <charset val="1"/>
      </rPr>
      <t>Benefício Social Familiar - CCT 2021, 14ª.</t>
    </r>
  </si>
  <si>
    <r>
      <rPr>
        <b/>
        <sz val="10"/>
        <rFont val="Arial"/>
        <family val="2"/>
        <charset val="1"/>
      </rPr>
      <t xml:space="preserve">CITL: </t>
    </r>
    <r>
      <rPr>
        <sz val="10"/>
        <rFont val="Arial"/>
        <family val="2"/>
        <charset val="1"/>
      </rPr>
      <t>Preenchida aba CITL (Custos Indiretos, Tributos e Lucros).</t>
    </r>
  </si>
  <si>
    <r>
      <rPr>
        <b/>
        <sz val="10"/>
        <rFont val="Arial"/>
        <family val="2"/>
        <charset val="1"/>
      </rPr>
      <t>Valor do Posto Unitário Mensal</t>
    </r>
    <r>
      <rPr>
        <sz val="10"/>
        <color rgb="FF000000"/>
        <rFont val="Arial"/>
        <family val="2"/>
        <charset val="1"/>
      </rPr>
      <t xml:space="preserve"> = Montante A + Montante B + CITL.</t>
    </r>
  </si>
  <si>
    <t>Optante pela desoneração da folha de pagamento?
(Lei 12.546/2011)</t>
  </si>
  <si>
    <t>Sim</t>
  </si>
  <si>
    <t>x</t>
  </si>
  <si>
    <t>Não</t>
  </si>
  <si>
    <t>ENCARGOS SOCIAIS E TRABALHISTAS</t>
  </si>
  <si>
    <t xml:space="preserve">SUBMÓDULO 1 - Encargos Previdenciários e FGTS </t>
  </si>
  <si>
    <t>%</t>
  </si>
  <si>
    <t>FUNDAMENTO LEGAL</t>
  </si>
  <si>
    <t>MEMÓRIA DE CÁLCULO</t>
  </si>
  <si>
    <t>INSS</t>
  </si>
  <si>
    <t xml:space="preserve">Art. 22, inciso I, da Lei 8.212/91. </t>
  </si>
  <si>
    <t>20% sobre a remuneração.</t>
  </si>
  <si>
    <t>SESI / SESC</t>
  </si>
  <si>
    <t>Art. 30 da Lei 8.036/90.</t>
  </si>
  <si>
    <t>1,5% sobre a remuneração.</t>
  </si>
  <si>
    <t>INCRA</t>
  </si>
  <si>
    <t>Art. 1º, inciso I, do Decreto Lei nº 1.146/70.</t>
  </si>
  <si>
    <t>0,2% sobre a remuneração.</t>
  </si>
  <si>
    <t>SENAI / SENAC</t>
  </si>
  <si>
    <t>Decreto nº 2.318/86.</t>
  </si>
  <si>
    <t>1% sobre a remuneração</t>
  </si>
  <si>
    <t>Salário Educação</t>
  </si>
  <si>
    <t>Art. 3º, inciso I, do Decreto nº 87.043/82; art. 15, de Lei nº 9424/96; e art 2º, do Decreto nº 3412/99.</t>
  </si>
  <si>
    <t>2,5% sobre a remuneração.</t>
  </si>
  <si>
    <t>SEBRAE</t>
  </si>
  <si>
    <t>Art. 8º da Lei 8.029/90, alterada pela Lei nº 8.154/90.</t>
  </si>
  <si>
    <t>0,6% sobre a remuneração.</t>
  </si>
  <si>
    <t>RAT
(%)</t>
  </si>
  <si>
    <t>FAP
(Fator)</t>
  </si>
  <si>
    <t>RAT Ajustado</t>
  </si>
  <si>
    <t xml:space="preserve">Art. 22, inciso II, alineas "b" e "c" da Lei 8.212/91; Decreto nº 6042/07; Anexo da Resolução MPS/CNPS nº 1.329/17 (Fator Acidentário de Prevenção - FAP). </t>
  </si>
  <si>
    <t>Alíquotas do RAT de 1%, 2% ou 3%, pondendo ser reduzida pela metade ou acrescida em até 100% pelo FAP.</t>
  </si>
  <si>
    <t>FGTS</t>
  </si>
  <si>
    <t>Art. 15 da Lei. 8036/90 e art 7º, inciso III, da Constituição Federal de 05/10/88.</t>
  </si>
  <si>
    <t>8% sobre a remuneração.</t>
  </si>
  <si>
    <t>Total do SUBMÓDULO 1:</t>
  </si>
  <si>
    <t>SUBMÓDULO 2 - 13º Salário e Adicional de Férias</t>
  </si>
  <si>
    <t>Adicional de Férias</t>
  </si>
  <si>
    <t>A Constituição Federal no Art. 7º inciso XVII, dispõe que é direito do trabalhador o "gozo de férias anuais remuneradas com, pelo menos, um terço a mais do que o salário normal".</t>
  </si>
  <si>
    <t>((1 / 3) / 12) x 100 = 2,78%</t>
  </si>
  <si>
    <t>13º Salário</t>
  </si>
  <si>
    <t xml:space="preserve">A constituição Federal no Art.  7º inciso XIII, prevê o décimo terceiro salário com base na remuneração integral. Portanto, cada trabalhador faz jus a um salário por ano a esse título. </t>
  </si>
  <si>
    <t>1/12 x 100 = 8,33%</t>
  </si>
  <si>
    <t xml:space="preserve">Subtotal </t>
  </si>
  <si>
    <t>1 sobre subtotal 2</t>
  </si>
  <si>
    <r>
      <rPr>
        <b/>
        <sz val="8"/>
        <rFont val="Arial"/>
        <family val="2"/>
        <charset val="1"/>
      </rPr>
      <t>SUBMÓDULO 1</t>
    </r>
    <r>
      <rPr>
        <sz val="8"/>
        <rFont val="Arial"/>
        <family val="2"/>
        <charset val="1"/>
      </rPr>
      <t xml:space="preserve"> sobre o 13º Salário e Adicional de Férias.</t>
    </r>
  </si>
  <si>
    <t>B23 X B29</t>
  </si>
  <si>
    <t>Total do SUBMÓDULO 2:</t>
  </si>
  <si>
    <t>SUBMÓDULO 3 - Afastamento Maternidade</t>
  </si>
  <si>
    <t>Afastamento Maternidade</t>
  </si>
  <si>
    <t xml:space="preserve">Custeado Integralmente pela Previdência. Tem reflexos em férias, 13º salário e diferença salarial entre o teto da previdência e o recebido. Reflexo: </t>
  </si>
  <si>
    <t>(1,416% X 10% X 6/12) X (8,33% + 8,33% + 2,78% + 20% + 8%) = 0,03%</t>
  </si>
  <si>
    <t>1 sobre subtotal 3</t>
  </si>
  <si>
    <r>
      <rPr>
        <b/>
        <sz val="8"/>
        <rFont val="Arial"/>
        <family val="2"/>
        <charset val="1"/>
      </rPr>
      <t>SUBMÓDULO 1</t>
    </r>
    <r>
      <rPr>
        <sz val="8"/>
        <rFont val="Arial"/>
        <family val="2"/>
        <charset val="1"/>
      </rPr>
      <t xml:space="preserve"> sobre o Afastamento Maternidade. </t>
    </r>
  </si>
  <si>
    <t>B23 X B35</t>
  </si>
  <si>
    <t>Total do SUBMÓDULO 3:</t>
  </si>
  <si>
    <t xml:space="preserve">SUBMÓDULO 4 - Provisão para Rescisão </t>
  </si>
  <si>
    <t>Aviso Prévio Indenizado</t>
  </si>
  <si>
    <t>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t>
  </si>
  <si>
    <t>((1/12) X 0,05) X 100 = 0,42%</t>
  </si>
  <si>
    <t>FGTS sobre Aviso Prévio Indenizado</t>
  </si>
  <si>
    <t>Súmula nº 305/TST e Acórdão TCU 2.217/2010 - Plenário.</t>
  </si>
  <si>
    <t>B41 X 8%</t>
  </si>
  <si>
    <t>Multa do FGTS sobre o Aviso Prévio Indenizado</t>
  </si>
  <si>
    <t>B41 X 8% X 40%</t>
  </si>
  <si>
    <t>Aviso Prévio Trabalhado</t>
  </si>
  <si>
    <t xml:space="preserve">Refere-se à indenização de sete dias corridos devida ao empregado no caso de o empregador rescindir o contrato sem justo motivo e conceder aviso prévio, conforme disposto no art. 488 da CLT.  (Acordão TCU 1186/2017). </t>
  </si>
  <si>
    <t>((7 / 30) / 12) X 100 = 1,94%</t>
  </si>
  <si>
    <t>1 sobre o Aviso Prévio Trabalhado</t>
  </si>
  <si>
    <r>
      <rPr>
        <b/>
        <sz val="8"/>
        <rFont val="Arial"/>
        <family val="2"/>
        <charset val="1"/>
      </rPr>
      <t>SUBMÓDULO 1</t>
    </r>
    <r>
      <rPr>
        <sz val="8"/>
        <rFont val="Arial"/>
        <family val="2"/>
        <charset val="1"/>
      </rPr>
      <t xml:space="preserve"> sobre o Aviso Prévio Trabalhado. </t>
    </r>
  </si>
  <si>
    <t>B23 X B44</t>
  </si>
  <si>
    <t>Multa do FGTS sobre o Aviso Prévio Trabalhado</t>
  </si>
  <si>
    <t>B44 X 8% X 40%</t>
  </si>
  <si>
    <t>Multa do FGTS sobre Rescisão sem Justa Causa</t>
  </si>
  <si>
    <t>A Lei Complementar nº 110, de 29 de junho de 2001, determina multa de 50% sobre a soma dos depósitos do FGTS, no caso de rescisão sem justa causa. Considerando que 10% dos empregados pedem contas, essa penalidade recai sobre os 90% remanescentes. Considerando o pagamento da multa para os valores depositados relativos a salários, férias e 13º salário.</t>
  </si>
  <si>
    <t>0,08 X 0,4 X 0,9 X [1 + 1/12 + 1/12 + (1/3 X 1/12)] = 3,44%</t>
  </si>
  <si>
    <t>Total do SUBMÓDULO 4:</t>
  </si>
  <si>
    <t>SUBMÓDULO 5 - Custo de Reposição do Profissional Ausente</t>
  </si>
  <si>
    <t>Férias</t>
  </si>
  <si>
    <t>Afastamento de 30 dias, sem prejuizo da remuneração, após cada período de 12 meses de vigência do contrato de trabalho. O pagamento ocorre conforme preceitua o art. 129 e o inc. I art. 130, CLT; e art. 7º, inciso XVII, CF.</t>
  </si>
  <si>
    <t>1/12 X 100 = 8,33%</t>
  </si>
  <si>
    <t>Ausência por Doença</t>
  </si>
  <si>
    <t>Esta parcela refere-se aos dias em que o empregado fica doente e a contratada deve providenciar sua substituição. Entendemos que deva ser adotado 5,96 dias, conforme consta do memorial de cálculo encaminhado pelo MP, devendo-se converter esses dias em mês e depois dividí-lo pelo número de meses no ano. (Acórdão 1753/2008 – Plenário TCU).</t>
  </si>
  <si>
    <t>(5,96 / 30) / 12 X 100 = 1,66%</t>
  </si>
  <si>
    <t>Licença Paternidade</t>
  </si>
  <si>
    <t>Criada pelo art. 7º, inciso XIX da CF, combinado com o art. 10, § 1º dos Atos das Disposições Constitucionais Transitórias – ADCT - , concede ao empregado o direito de ausentar-se do serviço por cinco dias quando do nascimento de filho. De acordo com o IBGE, nascem filhos de 1,5% dos trabalhadores no período de um ano.</t>
  </si>
  <si>
    <t>((5 / 30) / 12) X 0,015 X 100 = 0,02%</t>
  </si>
  <si>
    <t>Faltas Legais</t>
  </si>
  <si>
    <t>Lei 6367/76 e o art. 473 da CLT elencam as motivações de falta de empregados ao serviço sem que haja prejuízo ao salário correspondente. De acordo com dados estatísticos do IBGE, arrolado no item 20 do Acórdão 6771/2009 do TCU, cada empregado falta um dia por ano, a esse título.</t>
  </si>
  <si>
    <t>((1 / 30) / 12) X 100 = 0,28%</t>
  </si>
  <si>
    <t>Ausência por Acidente de Trabalho</t>
  </si>
  <si>
    <t>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t>
  </si>
  <si>
    <t>((15 / 30) / 12) X 0,0078 X 100 = 0,03%</t>
  </si>
  <si>
    <t>Subtotal</t>
  </si>
  <si>
    <t>1 sobre o subtotal 5</t>
  </si>
  <si>
    <r>
      <rPr>
        <b/>
        <sz val="8"/>
        <rFont val="Arial"/>
        <family val="2"/>
        <charset val="1"/>
      </rPr>
      <t>SUBMÓDULO 1</t>
    </r>
    <r>
      <rPr>
        <sz val="8"/>
        <rFont val="Arial"/>
        <family val="2"/>
        <charset val="1"/>
      </rPr>
      <t xml:space="preserve"> sobre o Custo de Repos. do Profiss. Ausente. </t>
    </r>
  </si>
  <si>
    <t>B23 X B57</t>
  </si>
  <si>
    <t>Total do SUBMÓDULO 5:</t>
  </si>
  <si>
    <t xml:space="preserve">RESUMO DO MÓDULO - ENCARGOS SOCIAIS E TRABALHISTAS </t>
  </si>
  <si>
    <t>1. Encargos Previdenciários e FGTS</t>
  </si>
  <si>
    <t>2. 13º Salário e Adicional de Férias</t>
  </si>
  <si>
    <t>3. Afastamento Maternidade</t>
  </si>
  <si>
    <t>4. Provisão para Rescisão</t>
  </si>
  <si>
    <t>5. Custo de Reposição do Profissional Ausente</t>
  </si>
  <si>
    <t>Total dos Encargos Sociais e Trabalhistas</t>
  </si>
  <si>
    <t>CÉLULAS A PREENCHER</t>
  </si>
  <si>
    <t>CITL - CUSTOS INDIRETOS, TRIBUTOS E LUCRO</t>
  </si>
  <si>
    <t xml:space="preserve">Percentual </t>
  </si>
  <si>
    <t>Custo Indireto (CI) - Taxa de administração</t>
  </si>
  <si>
    <t>Taxa de Lucro  (L)</t>
  </si>
  <si>
    <t>PIS (T)</t>
  </si>
  <si>
    <t>COFINS (T)</t>
  </si>
  <si>
    <t>ISS (T)</t>
  </si>
  <si>
    <r>
      <rPr>
        <sz val="10"/>
        <color rgb="FF000000"/>
        <rFont val="Arial"/>
        <family val="2"/>
        <charset val="1"/>
      </rPr>
      <t>INSS (CPRB)</t>
    </r>
    <r>
      <rPr>
        <sz val="10"/>
        <color rgb="FFFF0000"/>
        <rFont val="Arial"/>
        <family val="2"/>
        <charset val="1"/>
      </rPr>
      <t>*</t>
    </r>
    <r>
      <rPr>
        <sz val="10"/>
        <color rgb="FF000000"/>
        <rFont val="Arial"/>
        <family val="2"/>
        <charset val="1"/>
      </rPr>
      <t xml:space="preserve"> (T)</t>
    </r>
  </si>
  <si>
    <r>
      <rPr>
        <sz val="8"/>
        <color rgb="FFFF0000"/>
        <rFont val="Arial"/>
        <family val="2"/>
        <charset val="1"/>
      </rPr>
      <t>*</t>
    </r>
    <r>
      <rPr>
        <sz val="8"/>
        <color rgb="FF000000"/>
        <rFont val="Arial"/>
        <family val="2"/>
        <charset val="1"/>
      </rPr>
      <t xml:space="preserve"> Preencher somente se a empresa for optante pela desoneração da folha de pagamento (Lei 12546/2011; Item 6.5.1 do Acórdão nº 1212/2014-TCU).</t>
    </r>
  </si>
  <si>
    <t>TOTAL</t>
  </si>
  <si>
    <t>Memória de cálculo:</t>
  </si>
  <si>
    <t>% CITL =  ( (1 + CI) / (1 - T - L) ) - 1</t>
  </si>
  <si>
    <t>PAD</t>
  </si>
  <si>
    <t>INSUMOS</t>
  </si>
  <si>
    <t xml:space="preserve">Período Normal </t>
  </si>
  <si>
    <t>Equipamento</t>
  </si>
  <si>
    <t>Núcleo de Análise e Pesquisa de Mercado</t>
  </si>
  <si>
    <t xml:space="preserve">Quantidade </t>
  </si>
  <si>
    <t>Depreciação (Meses*)</t>
  </si>
  <si>
    <t>Valor Unitário</t>
  </si>
  <si>
    <t>Soma Mensal por Posto</t>
  </si>
  <si>
    <t>Preço 1</t>
  </si>
  <si>
    <t>Preço 2</t>
  </si>
  <si>
    <t>Preço 3</t>
  </si>
  <si>
    <t>Preço Médio</t>
  </si>
  <si>
    <t>Carrinho Plataforma com capacidade para 300kg - Código 8706.*</t>
  </si>
  <si>
    <t>Uniforme Carregador</t>
  </si>
  <si>
    <t>Quantidade por Posto</t>
  </si>
  <si>
    <t>Periodicid. (Meses)</t>
  </si>
  <si>
    <t xml:space="preserve">Calça jeans cor azul-marinho, com elastano </t>
  </si>
  <si>
    <t>Camiseta azul royal, 100% algodão, manga curta</t>
  </si>
  <si>
    <t xml:space="preserve">Camiseta azul royal, 100% algodão, manga longa </t>
  </si>
  <si>
    <t>Jaqueta de nylon, dupla face, cor azul-marinho</t>
  </si>
  <si>
    <t>Calçado com biqueira de aço, em solado injetado, na cor preta, em couro - marca de referência Cartom</t>
  </si>
  <si>
    <t>Uniforme Recepcionista</t>
  </si>
  <si>
    <t xml:space="preserve">Calça social ou saia social e blazer azul marinho </t>
  </si>
  <si>
    <t xml:space="preserve">Camisa branca, manga curta </t>
  </si>
  <si>
    <t>Camisa branca, manga longa</t>
  </si>
  <si>
    <t>Blusa de lã azul marinho</t>
  </si>
  <si>
    <t>Sapato social, em couro, na cor preta</t>
  </si>
  <si>
    <t>Uniforme Encarregado</t>
  </si>
  <si>
    <t xml:space="preserve">Camiseta polo, azul marinho, manga curta </t>
  </si>
  <si>
    <t xml:space="preserve">Camiseta polo, azul marinho, manga longa </t>
  </si>
  <si>
    <t>Jaqueta dupla face, cor azul-marinho</t>
  </si>
  <si>
    <t>Calçado com biqueira de aço, em solado injetado, na cor preta, em couro – marca de referência Cartom.</t>
  </si>
  <si>
    <t>Período Eleitoral - 1º Turno (15  de Julho a 15 de Outubro)</t>
  </si>
  <si>
    <t>* Instrução Normativa RFB nº 1700/2017.</t>
  </si>
  <si>
    <t>HORA EXTRA SUPLEMENTAR</t>
  </si>
  <si>
    <t>POSTO DE TRABALHO</t>
  </si>
  <si>
    <t>CARGA HOR. SEMANAL</t>
  </si>
  <si>
    <t>HORA SALÁRIO COM 50% DE ACRÉSCIMO</t>
  </si>
  <si>
    <t>DESCANSO SEMANAL REMUNERADO</t>
  </si>
  <si>
    <t>ENCARGOS SOCIAIS</t>
  </si>
  <si>
    <t>SOMA</t>
  </si>
  <si>
    <t>VALOR  DA HORA SUPLEMENTAR NOTURNA 50%</t>
  </si>
  <si>
    <t>HORA SALÁRIO COM 100% DE ACRÉSCIMO</t>
  </si>
  <si>
    <t>HORA SALÁRIO NOTURNA COM 50% DE ACRÉSCIMO</t>
  </si>
  <si>
    <t>HORA SALÁRIO NOTURNA COM 100% DE ACRÉSCIMO</t>
  </si>
  <si>
    <t>VALOR  DA HORA SUPLEMENTAR NOTURNA 100%</t>
  </si>
  <si>
    <t>AUXÍLIO TRANSPORTE</t>
  </si>
  <si>
    <t xml:space="preserve">AUXÍLIO ALIMENTAÇÃO </t>
  </si>
  <si>
    <t>POR DIA</t>
  </si>
  <si>
    <t>VALE TRANSPORTE</t>
  </si>
  <si>
    <t>VALE ALIMENTAÇÃO SUPLEMENTAR</t>
  </si>
  <si>
    <r>
      <rPr>
        <b/>
        <sz val="10"/>
        <rFont val="Arial"/>
        <family val="2"/>
        <charset val="1"/>
      </rPr>
      <t>Encargos Sociais</t>
    </r>
    <r>
      <rPr>
        <sz val="10"/>
        <rFont val="Arial"/>
        <family val="2"/>
        <charset val="1"/>
      </rPr>
      <t>: Percentual máximo de 36,80% (Submódulo I - Encargos e Provisões).</t>
    </r>
  </si>
  <si>
    <r>
      <rPr>
        <b/>
        <sz val="10"/>
        <rFont val="Arial"/>
        <family val="2"/>
        <charset val="1"/>
      </rPr>
      <t>Adicional Noturno</t>
    </r>
    <r>
      <rPr>
        <sz val="10"/>
        <rFont val="Arial"/>
        <family val="2"/>
        <charset val="1"/>
      </rPr>
      <t>: 20% sobre a hora reduzida 52,5 min.</t>
    </r>
  </si>
  <si>
    <r>
      <rPr>
        <b/>
        <sz val="10"/>
        <rFont val="Arial"/>
        <family val="2"/>
        <charset val="1"/>
      </rPr>
      <t>Auxílio Transporte</t>
    </r>
    <r>
      <rPr>
        <sz val="10"/>
        <rFont val="Arial"/>
        <family val="2"/>
        <charset val="1"/>
      </rPr>
      <t xml:space="preserve">: Valor unitário X 2. </t>
    </r>
    <r>
      <rPr>
        <sz val="10"/>
        <color rgb="FFFF0000"/>
        <rFont val="Arial"/>
        <family val="2"/>
        <charset val="1"/>
      </rPr>
      <t>* Devido por dia e somente nos casos de H.E. de sábado, domingo ou feriado.</t>
    </r>
  </si>
  <si>
    <r>
      <rPr>
        <b/>
        <sz val="10"/>
        <rFont val="Arial"/>
        <family val="2"/>
        <charset val="1"/>
      </rPr>
      <t>Auxílio Alimentação</t>
    </r>
    <r>
      <rPr>
        <sz val="10"/>
        <rFont val="Arial"/>
        <family val="2"/>
        <charset val="1"/>
      </rPr>
      <t>: Valor diário.</t>
    </r>
  </si>
  <si>
    <r>
      <rPr>
        <b/>
        <sz val="10"/>
        <rFont val="Arial"/>
        <family val="2"/>
        <charset val="1"/>
      </rPr>
      <t>Descanso Semanal Remunerado</t>
    </r>
    <r>
      <rPr>
        <sz val="10"/>
        <rFont val="Arial"/>
        <family val="2"/>
        <charset val="1"/>
      </rPr>
      <t>: Incluído o DSR de 20% sobre o valor da hora suplementar.</t>
    </r>
  </si>
  <si>
    <r>
      <rPr>
        <b/>
        <sz val="10"/>
        <rFont val="Arial"/>
        <family val="2"/>
        <charset val="1"/>
      </rPr>
      <t>CITL</t>
    </r>
    <r>
      <rPr>
        <sz val="10"/>
        <rFont val="Arial"/>
        <family val="2"/>
        <charset val="1"/>
      </rPr>
      <t>: Conforme cálculo na planilha CITL.</t>
    </r>
  </si>
  <si>
    <t>Cálculo para exclusão do Custo do Profissional Ausente no caso de não reposição</t>
  </si>
  <si>
    <t>Remuneração:</t>
  </si>
  <si>
    <t>Remuneração / 30 X Quantidade de dias corridos</t>
  </si>
  <si>
    <t>Encargos Previdenciários:</t>
  </si>
  <si>
    <t>Submódulo 1 da Planilha de Encargos Sociais e FGTS</t>
  </si>
  <si>
    <t>Vale Alimentação:</t>
  </si>
  <si>
    <t>Quantidade de dias úteis X o Valor Unitário do VA</t>
  </si>
  <si>
    <t>Vale Transporte:</t>
  </si>
  <si>
    <t>Quantidade de dias úteis X o Valor Unitário do VT X a Quantidade Diária Fornecida</t>
  </si>
  <si>
    <t>Soma:</t>
  </si>
  <si>
    <t>CITL:</t>
  </si>
  <si>
    <t>Custos Indiretos, Tributos e Lucro</t>
  </si>
  <si>
    <t>Valor da Glosa:</t>
  </si>
  <si>
    <t>Quantidade de dias corridos do período:</t>
  </si>
  <si>
    <t>Quantidade de dias úteis do período:</t>
  </si>
  <si>
    <r>
      <t xml:space="preserve">Auxílio Transporte: </t>
    </r>
    <r>
      <rPr>
        <sz val="10"/>
        <rFont val="Arial"/>
        <family val="2"/>
      </rPr>
      <t>(Valor Unitário do VT X Quantidade Diária X21) - 6% da Remuneração.</t>
    </r>
  </si>
  <si>
    <t>0</t>
  </si>
  <si>
    <t>OBSERVAÇÕES:</t>
  </si>
  <si>
    <t>RESUMO DO ITEM:</t>
  </si>
  <si>
    <t>Valor Unitário do Posto</t>
  </si>
  <si>
    <t>Quantidade</t>
  </si>
  <si>
    <t>Valor Mensal</t>
  </si>
  <si>
    <t>Soma</t>
  </si>
  <si>
    <t>Carregador</t>
  </si>
  <si>
    <t>Recepcionista</t>
  </si>
  <si>
    <t>Encarregado</t>
  </si>
  <si>
    <t>HORA SUPLEMENTAR 50%</t>
  </si>
  <si>
    <t>HORA SUPLEMENTAR 100%</t>
  </si>
  <si>
    <t>HORA SUPLEMENTAR NOTURNA 50%</t>
  </si>
  <si>
    <t>HORA SUPLEMENTAR NOTURNA 100%</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</si>
</sst>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7" formatCode="&quot;R$&quot;\ #,##0.00;\-&quot;R$&quot;\ #,##0.00"/>
    <numFmt numFmtId="164" formatCode="_-&quot;R$ &quot;* #,##0.00_-;&quot;-R$ &quot;* #,##0.00_-;_-&quot;R$ &quot;* \-??_-;_-@_-"/>
    <numFmt numFmtId="165" formatCode="_(&quot;R$&quot;* #,##0.00_);_(&quot;R$&quot;* \(#,##0.00\);_(&quot;R$&quot;* \-??_);_(@_)"/>
    <numFmt numFmtId="166" formatCode="_-* #,##0.00_-;\-* #,##0.00_-;_-* \-??_-;_-@_-"/>
    <numFmt numFmtId="167" formatCode="dd/mm/yy;@"/>
    <numFmt numFmtId="168" formatCode="&quot;R$ &quot;#,##0.00"/>
    <numFmt numFmtId="169" formatCode="&quot;R$ &quot;#,##0.00;[Red]&quot;-R$ &quot;#,##0.00"/>
    <numFmt numFmtId="170" formatCode="#,##0_ ;[Red]\-#,##0\ "/>
    <numFmt numFmtId="171" formatCode="[$R$-416]\ #,##0.00;\-[$R$-416]\ #,##0.00"/>
    <numFmt numFmtId="172" formatCode="0.00;[Red]0.00"/>
    <numFmt numFmtId="173" formatCode="0.0000"/>
    <numFmt numFmtId="174" formatCode="0;[Red]0"/>
    <numFmt numFmtId="175" formatCode="0.0000000"/>
    <numFmt numFmtId="176" formatCode="&quot;R$&quot;\ #,##0.00"/>
  </numFmts>
  <fonts count="50" x14ac:knownFonts="1">
    <font>
      <sz val="10"/>
      <name val="Arial"/>
      <charset val="1"/>
    </font>
    <font>
      <sz val="10"/>
      <name val="Arial"/>
      <family val="2"/>
      <charset val="1"/>
    </font>
    <font>
      <sz val="11"/>
      <color rgb="FF000000"/>
      <name val="Garamond"/>
      <family val="1"/>
      <charset val="1"/>
    </font>
    <font>
      <sz val="9"/>
      <name val="Arial"/>
      <family val="2"/>
      <charset val="1"/>
    </font>
    <font>
      <b/>
      <sz val="9"/>
      <color rgb="FF000000"/>
      <name val="Arial"/>
      <family val="2"/>
      <charset val="1"/>
    </font>
    <font>
      <b/>
      <sz val="10"/>
      <name val="Arial"/>
      <family val="2"/>
      <charset val="1"/>
    </font>
    <font>
      <sz val="11"/>
      <color rgb="FF000000"/>
      <name val="Arial"/>
      <family val="2"/>
      <charset val="1"/>
    </font>
    <font>
      <b/>
      <sz val="10"/>
      <color rgb="FF000000"/>
      <name val="Arial"/>
      <family val="2"/>
      <charset val="1"/>
    </font>
    <font>
      <b/>
      <sz val="10"/>
      <color rgb="FF4F6228"/>
      <name val="Arial"/>
      <family val="2"/>
      <charset val="1"/>
    </font>
    <font>
      <sz val="10"/>
      <color rgb="FF000000"/>
      <name val="Arial"/>
      <family val="2"/>
      <charset val="1"/>
    </font>
    <font>
      <b/>
      <sz val="10"/>
      <color rgb="FF558ED5"/>
      <name val="Arial"/>
      <family val="2"/>
      <charset val="1"/>
    </font>
    <font>
      <b/>
      <sz val="16"/>
      <name val="Arial"/>
      <family val="2"/>
      <charset val="1"/>
    </font>
    <font>
      <b/>
      <sz val="14"/>
      <name val="Garamond"/>
      <family val="1"/>
      <charset val="1"/>
    </font>
    <font>
      <sz val="12"/>
      <name val="Arial"/>
      <family val="2"/>
      <charset val="1"/>
    </font>
    <font>
      <sz val="14"/>
      <color rgb="FFFF0000"/>
      <name val="Garamond"/>
      <family val="1"/>
      <charset val="1"/>
    </font>
    <font>
      <sz val="11"/>
      <color rgb="FFFF0000"/>
      <name val="Garamond"/>
      <family val="1"/>
      <charset val="1"/>
    </font>
    <font>
      <b/>
      <sz val="12"/>
      <name val="Arial"/>
      <family val="2"/>
      <charset val="1"/>
    </font>
    <font>
      <sz val="12"/>
      <color rgb="FFFF0000"/>
      <name val="Arial"/>
      <family val="2"/>
      <charset val="1"/>
    </font>
    <font>
      <sz val="16"/>
      <name val="Arial"/>
      <family val="2"/>
      <charset val="1"/>
    </font>
    <font>
      <b/>
      <sz val="11"/>
      <color rgb="FF000000"/>
      <name val="Garamond"/>
      <family val="1"/>
      <charset val="1"/>
    </font>
    <font>
      <b/>
      <sz val="11"/>
      <color rgb="FF000000"/>
      <name val="Arial"/>
      <family val="2"/>
      <charset val="1"/>
    </font>
    <font>
      <sz val="14"/>
      <name val="Arial"/>
      <family val="2"/>
      <charset val="1"/>
    </font>
    <font>
      <sz val="8"/>
      <name val="Arial"/>
      <family val="2"/>
      <charset val="1"/>
    </font>
    <font>
      <b/>
      <sz val="13"/>
      <color rgb="FF1F497D"/>
      <name val="Calibri"/>
      <family val="2"/>
      <charset val="1"/>
    </font>
    <font>
      <b/>
      <sz val="9"/>
      <color rgb="FF7F7F7F"/>
      <name val="Arial"/>
      <family val="2"/>
      <charset val="1"/>
    </font>
    <font>
      <b/>
      <sz val="9"/>
      <name val="Arial"/>
      <family val="2"/>
      <charset val="1"/>
    </font>
    <font>
      <b/>
      <sz val="8"/>
      <name val="Arial"/>
      <family val="2"/>
      <charset val="1"/>
    </font>
    <font>
      <b/>
      <sz val="8"/>
      <color rgb="FFFF0000"/>
      <name val="Arial"/>
      <family val="2"/>
      <charset val="1"/>
    </font>
    <font>
      <b/>
      <sz val="10"/>
      <color rgb="FF1F497D"/>
      <name val="Arial"/>
      <family val="2"/>
      <charset val="1"/>
    </font>
    <font>
      <b/>
      <sz val="11"/>
      <color rgb="FF1F497D"/>
      <name val="Calibri"/>
      <family val="2"/>
      <charset val="1"/>
    </font>
    <font>
      <sz val="11"/>
      <color rgb="FF000000"/>
      <name val="Calibri"/>
      <family val="2"/>
      <charset val="1"/>
    </font>
    <font>
      <b/>
      <sz val="14"/>
      <color rgb="FF000000"/>
      <name val="Arial"/>
      <family val="2"/>
      <charset val="1"/>
    </font>
    <font>
      <sz val="10"/>
      <color rgb="FFFF0000"/>
      <name val="Arial"/>
      <family val="2"/>
      <charset val="1"/>
    </font>
    <font>
      <sz val="8"/>
      <color rgb="FFFF0000"/>
      <name val="Arial"/>
      <family val="2"/>
      <charset val="1"/>
    </font>
    <font>
      <sz val="8"/>
      <color rgb="FF000000"/>
      <name val="Arial"/>
      <family val="2"/>
      <charset val="1"/>
    </font>
    <font>
      <i/>
      <sz val="10"/>
      <color rgb="FFFF0000"/>
      <name val="Arial"/>
      <family val="2"/>
      <charset val="1"/>
    </font>
    <font>
      <b/>
      <sz val="14"/>
      <name val="Arial"/>
      <family val="2"/>
      <charset val="1"/>
    </font>
    <font>
      <b/>
      <sz val="11"/>
      <name val="Arial"/>
      <family val="2"/>
      <charset val="1"/>
    </font>
    <font>
      <b/>
      <sz val="12"/>
      <color rgb="FF4F6228"/>
      <name val="Arial"/>
      <family val="2"/>
      <charset val="1"/>
    </font>
    <font>
      <b/>
      <sz val="12"/>
      <color rgb="FF558ED5"/>
      <name val="Arial"/>
      <family val="2"/>
      <charset val="1"/>
    </font>
    <font>
      <b/>
      <sz val="12"/>
      <color rgb="FF376092"/>
      <name val="Arial"/>
      <family val="2"/>
      <charset val="1"/>
    </font>
    <font>
      <b/>
      <sz val="12"/>
      <color rgb="FF808080"/>
      <name val="Arial"/>
      <family val="2"/>
      <charset val="1"/>
    </font>
    <font>
      <b/>
      <sz val="10"/>
      <color rgb="FF595959"/>
      <name val="Arial"/>
      <family val="2"/>
      <charset val="1"/>
    </font>
    <font>
      <sz val="10"/>
      <color rgb="FFFFFFFF"/>
      <name val="Arial"/>
      <family val="2"/>
      <charset val="1"/>
    </font>
    <font>
      <sz val="10"/>
      <color rgb="FF0000FF"/>
      <name val="Arial"/>
      <family val="2"/>
      <charset val="1"/>
    </font>
    <font>
      <b/>
      <sz val="10"/>
      <color rgb="FF0000FF"/>
      <name val="Arial"/>
      <family val="2"/>
      <charset val="1"/>
    </font>
    <font>
      <sz val="10"/>
      <name val="Arial"/>
      <family val="2"/>
    </font>
    <font>
      <b/>
      <sz val="10"/>
      <color rgb="FF000000"/>
      <name val="Arial"/>
      <family val="2"/>
    </font>
    <font>
      <b/>
      <sz val="10"/>
      <name val="Arial"/>
      <family val="2"/>
    </font>
    <font>
      <sz val="9"/>
      <color indexed="81"/>
      <name val="Segoe UI"/>
      <family val="2"/>
    </font>
  </fonts>
  <fills count="16">
    <fill>
      <patternFill patternType="none"/>
    </fill>
    <fill>
      <patternFill patternType="gray125"/>
    </fill>
    <fill>
      <patternFill patternType="solid">
        <fgColor rgb="FFFFFFFF"/>
        <bgColor rgb="FFF2F2F2"/>
      </patternFill>
    </fill>
    <fill>
      <patternFill patternType="solid">
        <fgColor rgb="FFD7E4BD"/>
        <bgColor rgb="FFD9D9D9"/>
      </patternFill>
    </fill>
    <fill>
      <patternFill patternType="solid">
        <fgColor rgb="FFFFFFCC"/>
        <bgColor rgb="FFEBF1DE"/>
      </patternFill>
    </fill>
    <fill>
      <patternFill patternType="solid">
        <fgColor rgb="FFD9D9D9"/>
        <bgColor rgb="FFD7E4BD"/>
      </patternFill>
    </fill>
    <fill>
      <patternFill patternType="solid">
        <fgColor rgb="FFEBF1DE"/>
        <bgColor rgb="FFE2EFD9"/>
      </patternFill>
    </fill>
    <fill>
      <patternFill patternType="solid">
        <fgColor rgb="FFDCE6F2"/>
        <bgColor rgb="FFE2EFD9"/>
      </patternFill>
    </fill>
    <fill>
      <patternFill patternType="solid">
        <fgColor rgb="FFFF0000"/>
        <bgColor rgb="FF993300"/>
      </patternFill>
    </fill>
    <fill>
      <patternFill patternType="solid">
        <fgColor theme="0"/>
        <bgColor rgb="FFD9D9D9"/>
      </patternFill>
    </fill>
    <fill>
      <patternFill patternType="solid">
        <fgColor theme="9" tint="0.79998168889431442"/>
        <bgColor rgb="FFF2F2F2"/>
      </patternFill>
    </fill>
    <fill>
      <patternFill patternType="solid">
        <fgColor theme="9" tint="0.79998168889431442"/>
        <bgColor rgb="FFD9D9D9"/>
      </patternFill>
    </fill>
    <fill>
      <patternFill patternType="solid">
        <fgColor theme="9" tint="0.79998168889431442"/>
        <bgColor rgb="FFEBF1DE"/>
      </patternFill>
    </fill>
    <fill>
      <patternFill patternType="solid">
        <fgColor theme="6" tint="0.79998168889431442"/>
        <bgColor rgb="FFF2F2F2"/>
      </patternFill>
    </fill>
    <fill>
      <patternFill patternType="solid">
        <fgColor rgb="FFFFFFCC"/>
        <bgColor rgb="FFD9D9D9"/>
      </patternFill>
    </fill>
    <fill>
      <patternFill patternType="solid">
        <fgColor theme="0"/>
        <bgColor rgb="FFD7E4BD"/>
      </patternFill>
    </fill>
  </fills>
  <borders count="55">
    <border>
      <left/>
      <right/>
      <top/>
      <bottom/>
      <diagonal/>
    </border>
    <border>
      <left/>
      <right/>
      <top/>
      <bottom style="thick">
        <color rgb="FFA7C0DE"/>
      </bottom>
      <diagonal/>
    </border>
    <border>
      <left/>
      <right/>
      <top/>
      <bottom style="medium">
        <color rgb="FF95B3D7"/>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auto="1"/>
      </left>
      <right style="medium">
        <color auto="1"/>
      </right>
      <top style="medium">
        <color auto="1"/>
      </top>
      <bottom style="medium">
        <color auto="1"/>
      </bottom>
      <diagonal/>
    </border>
    <border>
      <left style="thin">
        <color auto="1"/>
      </left>
      <right style="thin">
        <color auto="1"/>
      </right>
      <top style="thick">
        <color rgb="FFD7E4BD"/>
      </top>
      <bottom style="thin">
        <color auto="1"/>
      </bottom>
      <diagonal/>
    </border>
    <border>
      <left/>
      <right/>
      <top/>
      <bottom style="thick">
        <color rgb="FFC6D9F1"/>
      </bottom>
      <diagonal/>
    </border>
    <border>
      <left style="thin">
        <color auto="1"/>
      </left>
      <right style="thin">
        <color auto="1"/>
      </right>
      <top style="thick">
        <color rgb="FFC6D9F1"/>
      </top>
      <bottom style="thin">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thin">
        <color auto="1"/>
      </left>
      <right/>
      <top/>
      <bottom/>
      <diagonal/>
    </border>
    <border>
      <left/>
      <right/>
      <top/>
      <bottom style="thin">
        <color auto="1"/>
      </bottom>
      <diagonal/>
    </border>
    <border>
      <left/>
      <right style="thin">
        <color auto="1"/>
      </right>
      <top/>
      <bottom/>
      <diagonal/>
    </border>
    <border>
      <left style="thin">
        <color auto="1"/>
      </left>
      <right style="thin">
        <color auto="1"/>
      </right>
      <top/>
      <bottom/>
      <diagonal/>
    </border>
    <border>
      <left/>
      <right/>
      <top style="thin">
        <color auto="1"/>
      </top>
      <bottom style="thick">
        <color rgb="FFD7E4BD"/>
      </bottom>
      <diagonal/>
    </border>
    <border>
      <left/>
      <right/>
      <top style="thin">
        <color auto="1"/>
      </top>
      <bottom/>
      <diagonal/>
    </border>
    <border>
      <left/>
      <right/>
      <top/>
      <bottom style="thick">
        <color rgb="FFC3D69B"/>
      </bottom>
      <diagonal/>
    </border>
    <border>
      <left style="thin">
        <color auto="1"/>
      </left>
      <right/>
      <top style="thin">
        <color auto="1"/>
      </top>
      <bottom style="thin">
        <color auto="1"/>
      </bottom>
      <diagonal/>
    </border>
    <border>
      <left/>
      <right style="medium">
        <color auto="1"/>
      </right>
      <top style="thin">
        <color auto="1"/>
      </top>
      <bottom/>
      <diagonal/>
    </border>
    <border>
      <left style="medium">
        <color auto="1"/>
      </left>
      <right/>
      <top/>
      <bottom/>
      <diagonal/>
    </border>
    <border>
      <left style="thin">
        <color auto="1"/>
      </left>
      <right/>
      <top style="thin">
        <color auto="1"/>
      </top>
      <bottom/>
      <diagonal/>
    </border>
    <border>
      <left/>
      <right style="medium">
        <color auto="1"/>
      </right>
      <top/>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right/>
      <top style="medium">
        <color auto="1"/>
      </top>
      <bottom/>
      <diagonal/>
    </border>
    <border>
      <left style="medium">
        <color auto="1"/>
      </left>
      <right/>
      <top style="medium">
        <color auto="1"/>
      </top>
      <bottom style="medium">
        <color auto="1"/>
      </bottom>
      <diagonal/>
    </border>
    <border>
      <left/>
      <right/>
      <top/>
      <bottom style="medium">
        <color rgb="FFC3D69B"/>
      </bottom>
      <diagonal/>
    </border>
    <border>
      <left/>
      <right/>
      <top style="medium">
        <color rgb="FFC3D69B"/>
      </top>
      <bottom/>
      <diagonal/>
    </border>
    <border>
      <left style="medium">
        <color rgb="FF1D08B8"/>
      </left>
      <right/>
      <top/>
      <bottom/>
      <diagonal/>
    </border>
    <border>
      <left/>
      <right/>
      <top style="medium">
        <color rgb="FF1D08B8"/>
      </top>
      <bottom/>
      <diagonal/>
    </border>
    <border>
      <left/>
      <right style="thin">
        <color auto="1"/>
      </right>
      <top style="thin">
        <color auto="1"/>
      </top>
      <bottom style="thin">
        <color auto="1"/>
      </bottom>
      <diagonal/>
    </border>
    <border>
      <left style="thin">
        <color auto="1"/>
      </left>
      <right style="thin">
        <color auto="1"/>
      </right>
      <top style="thick">
        <color rgb="FFC3D69B"/>
      </top>
      <bottom style="thin">
        <color auto="1"/>
      </bottom>
      <diagonal/>
    </border>
    <border>
      <left style="thin">
        <color auto="1"/>
      </left>
      <right style="thin">
        <color auto="1"/>
      </right>
      <top style="thick">
        <color rgb="FFC3D69B"/>
      </top>
      <bottom/>
      <diagonal/>
    </border>
    <border>
      <left/>
      <right/>
      <top/>
      <bottom style="thick">
        <color rgb="FFB9CDE5"/>
      </bottom>
      <diagonal/>
    </border>
    <border>
      <left/>
      <right/>
      <top style="thin">
        <color auto="1"/>
      </top>
      <bottom style="thick">
        <color rgb="FF8EB4E3"/>
      </bottom>
      <diagonal/>
    </border>
    <border>
      <left/>
      <right/>
      <top style="thin">
        <color auto="1"/>
      </top>
      <bottom style="thick">
        <color rgb="FFBFBFBF"/>
      </bottom>
      <diagonal/>
    </border>
    <border>
      <left/>
      <right/>
      <top/>
      <bottom style="thick">
        <color rgb="FFBFBFBF"/>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bottom style="thick">
        <color rgb="FFD7E4BD"/>
      </bottom>
      <diagonal/>
    </border>
    <border>
      <left style="thin">
        <color auto="1"/>
      </left>
      <right/>
      <top style="thick">
        <color rgb="FFD7E4BD"/>
      </top>
      <bottom/>
      <diagonal/>
    </border>
    <border>
      <left/>
      <right style="thin">
        <color auto="1"/>
      </right>
      <top style="thick">
        <color rgb="FFD7E4BD"/>
      </top>
      <bottom/>
      <diagonal/>
    </border>
    <border>
      <left style="thin">
        <color auto="1"/>
      </left>
      <right/>
      <top style="thick">
        <color rgb="FFC6D9F1"/>
      </top>
      <bottom style="thin">
        <color auto="1"/>
      </bottom>
      <diagonal/>
    </border>
    <border>
      <left/>
      <right style="thin">
        <color auto="1"/>
      </right>
      <top style="thick">
        <color rgb="FFC6D9F1"/>
      </top>
      <bottom style="thin">
        <color auto="1"/>
      </bottom>
      <diagonal/>
    </border>
  </borders>
  <cellStyleXfs count="10">
    <xf numFmtId="0" fontId="0" fillId="0" borderId="0"/>
    <xf numFmtId="165" fontId="46" fillId="0" borderId="0" applyBorder="0" applyProtection="0"/>
    <xf numFmtId="9" fontId="46" fillId="0" borderId="0" applyBorder="0" applyProtection="0"/>
    <xf numFmtId="164" fontId="46" fillId="0" borderId="0" applyBorder="0" applyProtection="0"/>
    <xf numFmtId="165" fontId="46" fillId="0" borderId="0" applyBorder="0" applyProtection="0"/>
    <xf numFmtId="0" fontId="1" fillId="0" borderId="0"/>
    <xf numFmtId="166" fontId="46" fillId="0" borderId="0" applyBorder="0" applyProtection="0"/>
    <xf numFmtId="0" fontId="23" fillId="0" borderId="1" applyProtection="0"/>
    <xf numFmtId="0" fontId="29" fillId="0" borderId="2" applyProtection="0"/>
    <xf numFmtId="0" fontId="46" fillId="0" borderId="0"/>
  </cellStyleXfs>
  <cellXfs count="380">
    <xf numFmtId="0" fontId="0" fillId="0" borderId="0" xfId="0"/>
    <xf numFmtId="0" fontId="5" fillId="2" borderId="0" xfId="5" applyFont="1" applyFill="1" applyBorder="1" applyAlignment="1" applyProtection="1">
      <alignment horizontal="right" vertical="center"/>
    </xf>
    <xf numFmtId="0" fontId="6" fillId="2" borderId="0" xfId="0" applyFont="1" applyFill="1" applyBorder="1" applyProtection="1"/>
    <xf numFmtId="0" fontId="9" fillId="0" borderId="3" xfId="0" applyFont="1" applyBorder="1" applyAlignment="1" applyProtection="1">
      <alignment horizontal="left" vertical="center" wrapText="1"/>
    </xf>
    <xf numFmtId="0" fontId="0" fillId="0" borderId="0" xfId="0" applyProtection="1"/>
    <xf numFmtId="0" fontId="12" fillId="0" borderId="0" xfId="5" applyFont="1" applyBorder="1" applyAlignment="1" applyProtection="1"/>
    <xf numFmtId="0" fontId="2" fillId="0" borderId="0" xfId="0" applyFont="1" applyBorder="1" applyProtection="1"/>
    <xf numFmtId="0" fontId="14" fillId="0" borderId="0" xfId="5" applyFont="1" applyBorder="1" applyAlignment="1" applyProtection="1"/>
    <xf numFmtId="0" fontId="15" fillId="0" borderId="0" xfId="0" applyFont="1" applyBorder="1" applyProtection="1"/>
    <xf numFmtId="0" fontId="18" fillId="2" borderId="0" xfId="5" applyFont="1" applyFill="1" applyBorder="1" applyAlignment="1" applyProtection="1">
      <alignment horizontal="center" vertical="center"/>
    </xf>
    <xf numFmtId="167" fontId="5" fillId="2" borderId="3" xfId="5" applyNumberFormat="1" applyFont="1" applyFill="1" applyBorder="1" applyAlignment="1" applyProtection="1">
      <alignment horizontal="center" wrapText="1"/>
    </xf>
    <xf numFmtId="0" fontId="0" fillId="0" borderId="0" xfId="0" applyBorder="1" applyProtection="1"/>
    <xf numFmtId="0" fontId="5" fillId="2" borderId="0" xfId="5" applyFont="1" applyFill="1" applyBorder="1" applyAlignment="1" applyProtection="1">
      <alignment horizontal="right" vertical="center" wrapText="1"/>
    </xf>
    <xf numFmtId="0" fontId="2" fillId="0" borderId="0" xfId="0" applyFont="1" applyAlignment="1" applyProtection="1"/>
    <xf numFmtId="0" fontId="2" fillId="0" borderId="0" xfId="0" applyFont="1" applyProtection="1"/>
    <xf numFmtId="0" fontId="2" fillId="0" borderId="0" xfId="0" applyFont="1" applyAlignment="1" applyProtection="1">
      <alignment horizontal="right"/>
    </xf>
    <xf numFmtId="10" fontId="1" fillId="2" borderId="3" xfId="5" applyNumberFormat="1" applyFont="1" applyFill="1" applyBorder="1" applyAlignment="1" applyProtection="1">
      <alignment horizontal="center" vertical="center" wrapText="1"/>
    </xf>
    <xf numFmtId="10" fontId="1" fillId="0" borderId="3" xfId="5" applyNumberFormat="1" applyFont="1" applyBorder="1" applyAlignment="1" applyProtection="1">
      <alignment horizontal="center" vertical="center"/>
    </xf>
    <xf numFmtId="0" fontId="8" fillId="0" borderId="16" xfId="0" applyFont="1" applyBorder="1" applyProtection="1"/>
    <xf numFmtId="0" fontId="0" fillId="0" borderId="16" xfId="0" applyBorder="1" applyProtection="1"/>
    <xf numFmtId="0" fontId="9" fillId="0" borderId="5" xfId="0" applyFont="1" applyBorder="1" applyAlignment="1" applyProtection="1">
      <alignment horizontal="left" vertical="center" wrapText="1"/>
    </xf>
    <xf numFmtId="4" fontId="1" fillId="0" borderId="5" xfId="0" applyNumberFormat="1" applyFont="1" applyBorder="1" applyAlignment="1" applyProtection="1">
      <alignment horizontal="right" vertical="center" indent="1"/>
    </xf>
    <xf numFmtId="4" fontId="1" fillId="0" borderId="5" xfId="5" applyNumberFormat="1" applyFont="1" applyBorder="1" applyAlignment="1" applyProtection="1">
      <alignment horizontal="right" vertical="center" wrapText="1" indent="1"/>
    </xf>
    <xf numFmtId="168" fontId="5" fillId="0" borderId="5" xfId="5" applyNumberFormat="1" applyFont="1" applyBorder="1" applyAlignment="1" applyProtection="1">
      <alignment horizontal="right" vertical="center" wrapText="1" indent="1"/>
    </xf>
    <xf numFmtId="4" fontId="1" fillId="0" borderId="3" xfId="0" applyNumberFormat="1" applyFont="1" applyBorder="1" applyAlignment="1" applyProtection="1">
      <alignment horizontal="right" vertical="center" indent="1"/>
    </xf>
    <xf numFmtId="4" fontId="1" fillId="5" borderId="3" xfId="0" applyNumberFormat="1" applyFont="1" applyFill="1" applyBorder="1" applyAlignment="1" applyProtection="1">
      <alignment horizontal="right" vertical="center" indent="3"/>
    </xf>
    <xf numFmtId="0" fontId="19" fillId="0" borderId="0" xfId="0" applyFont="1" applyAlignment="1" applyProtection="1">
      <alignment horizontal="right"/>
    </xf>
    <xf numFmtId="4" fontId="20" fillId="2" borderId="0" xfId="0" applyNumberFormat="1" applyFont="1" applyFill="1" applyBorder="1" applyAlignment="1" applyProtection="1">
      <alignment horizontal="right" vertical="center"/>
    </xf>
    <xf numFmtId="0" fontId="5" fillId="2" borderId="0" xfId="0" applyFont="1" applyFill="1" applyBorder="1" applyAlignment="1" applyProtection="1">
      <alignment horizontal="left" vertical="center"/>
    </xf>
    <xf numFmtId="0" fontId="1" fillId="0" borderId="0" xfId="0" applyFont="1" applyAlignment="1" applyProtection="1">
      <alignment vertical="center"/>
    </xf>
    <xf numFmtId="0" fontId="0" fillId="0" borderId="0" xfId="0" applyAlignment="1" applyProtection="1">
      <alignment vertical="center"/>
    </xf>
    <xf numFmtId="0" fontId="5" fillId="2" borderId="0" xfId="0" applyFont="1" applyFill="1" applyBorder="1" applyAlignment="1" applyProtection="1">
      <alignment horizontal="left" wrapText="1"/>
    </xf>
    <xf numFmtId="0" fontId="1" fillId="0" borderId="0" xfId="0" applyFont="1" applyAlignment="1" applyProtection="1"/>
    <xf numFmtId="0" fontId="1" fillId="0" borderId="0" xfId="5" applyProtection="1"/>
    <xf numFmtId="0" fontId="5" fillId="2" borderId="13" xfId="5" applyFont="1" applyFill="1" applyBorder="1" applyAlignment="1" applyProtection="1">
      <alignment horizontal="center" wrapText="1"/>
    </xf>
    <xf numFmtId="0" fontId="5" fillId="2" borderId="0" xfId="5" applyFont="1" applyFill="1" applyBorder="1" applyAlignment="1" applyProtection="1">
      <alignment horizontal="center" wrapText="1"/>
    </xf>
    <xf numFmtId="4" fontId="1" fillId="0" borderId="5" xfId="5" applyNumberFormat="1" applyFont="1" applyBorder="1" applyAlignment="1" applyProtection="1">
      <alignment horizontal="right" vertical="center" indent="1"/>
    </xf>
    <xf numFmtId="4" fontId="1" fillId="2" borderId="0" xfId="5" applyNumberFormat="1" applyFont="1" applyFill="1" applyBorder="1" applyAlignment="1" applyProtection="1">
      <alignment horizontal="right" vertical="center" indent="1"/>
    </xf>
    <xf numFmtId="0" fontId="1" fillId="2" borderId="0" xfId="5" applyFill="1" applyProtection="1"/>
    <xf numFmtId="0" fontId="5" fillId="2" borderId="0" xfId="5" applyFont="1" applyFill="1" applyBorder="1" applyAlignment="1" applyProtection="1">
      <alignment vertical="center"/>
    </xf>
    <xf numFmtId="0" fontId="5" fillId="2" borderId="0" xfId="5" applyFont="1" applyFill="1" applyBorder="1" applyAlignment="1" applyProtection="1">
      <alignment horizontal="center" vertical="center"/>
    </xf>
    <xf numFmtId="0" fontId="5" fillId="2" borderId="0" xfId="5" applyFont="1" applyFill="1" applyBorder="1" applyAlignment="1" applyProtection="1">
      <alignment horizontal="left" vertical="center"/>
    </xf>
    <xf numFmtId="0" fontId="1" fillId="2" borderId="0" xfId="5" applyFont="1" applyFill="1" applyBorder="1" applyProtection="1"/>
    <xf numFmtId="0" fontId="1" fillId="2" borderId="0" xfId="5" applyFont="1" applyFill="1" applyBorder="1" applyAlignment="1" applyProtection="1">
      <alignment horizontal="right" vertical="center" indent="1"/>
    </xf>
    <xf numFmtId="0" fontId="22" fillId="2" borderId="0" xfId="5" applyFont="1" applyFill="1" applyBorder="1" applyAlignment="1" applyProtection="1">
      <alignment vertical="center"/>
    </xf>
    <xf numFmtId="0" fontId="1" fillId="2" borderId="0" xfId="5" applyFont="1" applyFill="1" applyBorder="1" applyAlignment="1" applyProtection="1">
      <alignment horizontal="left" vertical="center"/>
    </xf>
    <xf numFmtId="172" fontId="1" fillId="2" borderId="0" xfId="5" applyNumberFormat="1" applyFont="1" applyFill="1" applyBorder="1" applyAlignment="1" applyProtection="1">
      <alignment horizontal="right" vertical="center" indent="1"/>
    </xf>
    <xf numFmtId="0" fontId="23" fillId="2" borderId="1" xfId="7" applyFont="1" applyFill="1" applyBorder="1" applyAlignment="1" applyProtection="1">
      <alignment horizontal="left"/>
    </xf>
    <xf numFmtId="0" fontId="23" fillId="0" borderId="1" xfId="7" applyBorder="1" applyAlignment="1" applyProtection="1"/>
    <xf numFmtId="0" fontId="24" fillId="2" borderId="13" xfId="5" applyFont="1" applyFill="1" applyBorder="1" applyAlignment="1" applyProtection="1">
      <alignment horizontal="center"/>
    </xf>
    <xf numFmtId="10" fontId="22" fillId="0" borderId="3" xfId="5" applyNumberFormat="1" applyFont="1" applyBorder="1" applyAlignment="1" applyProtection="1">
      <alignment horizontal="justify" vertical="center"/>
    </xf>
    <xf numFmtId="0" fontId="1" fillId="0" borderId="3" xfId="5" applyFont="1" applyBorder="1" applyAlignment="1" applyProtection="1">
      <alignment horizontal="center" vertical="center" wrapText="1"/>
    </xf>
    <xf numFmtId="0" fontId="1" fillId="3" borderId="3" xfId="5" applyFont="1" applyFill="1" applyBorder="1" applyAlignment="1" applyProtection="1">
      <alignment horizontal="center" vertical="center"/>
    </xf>
    <xf numFmtId="4" fontId="1" fillId="2" borderId="3" xfId="5" applyNumberFormat="1" applyFont="1" applyFill="1" applyBorder="1" applyAlignment="1" applyProtection="1">
      <alignment horizontal="right" vertical="center" indent="1"/>
    </xf>
    <xf numFmtId="4" fontId="5" fillId="4" borderId="6" xfId="5" applyNumberFormat="1" applyFont="1" applyFill="1" applyBorder="1" applyAlignment="1" applyProtection="1">
      <alignment horizontal="right" vertical="center" wrapText="1" indent="1"/>
    </xf>
    <xf numFmtId="10" fontId="22" fillId="0" borderId="21" xfId="5" applyNumberFormat="1" applyFont="1" applyBorder="1" applyAlignment="1" applyProtection="1">
      <alignment horizontal="justify" vertical="center"/>
    </xf>
    <xf numFmtId="10" fontId="22" fillId="2" borderId="0" xfId="5" applyNumberFormat="1" applyFont="1" applyFill="1" applyBorder="1" applyAlignment="1" applyProtection="1">
      <alignment horizontal="justify" vertical="center"/>
    </xf>
    <xf numFmtId="4" fontId="5" fillId="2" borderId="19" xfId="5" applyNumberFormat="1" applyFont="1" applyFill="1" applyBorder="1" applyAlignment="1" applyProtection="1">
      <alignment horizontal="right" vertical="center" indent="1"/>
    </xf>
    <xf numFmtId="0" fontId="22" fillId="0" borderId="3" xfId="5" applyFont="1" applyBorder="1" applyAlignment="1" applyProtection="1">
      <alignment vertical="center"/>
    </xf>
    <xf numFmtId="4" fontId="1" fillId="2" borderId="22" xfId="5" applyNumberFormat="1" applyFont="1" applyFill="1" applyBorder="1" applyAlignment="1" applyProtection="1">
      <alignment horizontal="right" vertical="center" indent="1"/>
    </xf>
    <xf numFmtId="0" fontId="26" fillId="0" borderId="3" xfId="5" applyFont="1" applyBorder="1" applyAlignment="1" applyProtection="1">
      <alignment horizontal="justify" vertical="center"/>
    </xf>
    <xf numFmtId="0" fontId="22" fillId="0" borderId="3" xfId="5" applyFont="1" applyBorder="1" applyAlignment="1" applyProtection="1">
      <alignment horizontal="justify" vertical="center"/>
    </xf>
    <xf numFmtId="10" fontId="22" fillId="2" borderId="21" xfId="5" applyNumberFormat="1" applyFont="1" applyFill="1" applyBorder="1" applyAlignment="1" applyProtection="1">
      <alignment horizontal="justify" vertical="center"/>
    </xf>
    <xf numFmtId="10" fontId="22" fillId="0" borderId="0" xfId="5" applyNumberFormat="1" applyFont="1" applyBorder="1" applyAlignment="1" applyProtection="1">
      <alignment horizontal="justify" vertical="center"/>
    </xf>
    <xf numFmtId="4" fontId="1" fillId="2" borderId="4" xfId="5" applyNumberFormat="1" applyFont="1" applyFill="1" applyBorder="1" applyAlignment="1" applyProtection="1">
      <alignment horizontal="right" vertical="center" indent="1"/>
    </xf>
    <xf numFmtId="0" fontId="23" fillId="0" borderId="1" xfId="7" applyBorder="1" applyAlignment="1" applyProtection="1">
      <alignment horizontal="left"/>
    </xf>
    <xf numFmtId="172" fontId="1" fillId="0" borderId="3" xfId="5" applyNumberFormat="1" applyFont="1" applyBorder="1" applyAlignment="1" applyProtection="1">
      <alignment horizontal="right" vertical="center" indent="1"/>
    </xf>
    <xf numFmtId="0" fontId="22" fillId="0" borderId="3" xfId="5" applyFont="1" applyBorder="1" applyAlignment="1" applyProtection="1">
      <alignment vertical="center" shrinkToFit="1"/>
    </xf>
    <xf numFmtId="0" fontId="26" fillId="0" borderId="3" xfId="5" applyFont="1" applyBorder="1" applyAlignment="1" applyProtection="1">
      <alignment vertical="center"/>
    </xf>
    <xf numFmtId="2" fontId="1" fillId="0" borderId="3" xfId="5" applyNumberFormat="1" applyFont="1" applyBorder="1" applyAlignment="1" applyProtection="1">
      <alignment horizontal="right" vertical="center" indent="1"/>
    </xf>
    <xf numFmtId="0" fontId="27" fillId="0" borderId="3" xfId="5" applyFont="1" applyBorder="1" applyAlignment="1" applyProtection="1">
      <alignment vertical="center"/>
    </xf>
    <xf numFmtId="10" fontId="22" fillId="2" borderId="3" xfId="5" applyNumberFormat="1" applyFont="1" applyFill="1" applyBorder="1" applyAlignment="1" applyProtection="1">
      <alignment horizontal="justify" vertical="center"/>
    </xf>
    <xf numFmtId="0" fontId="5" fillId="2" borderId="0" xfId="5" applyFont="1" applyFill="1" applyBorder="1" applyAlignment="1" applyProtection="1">
      <alignment horizontal="left"/>
    </xf>
    <xf numFmtId="0" fontId="1" fillId="0" borderId="0" xfId="5" applyProtection="1"/>
    <xf numFmtId="0" fontId="1" fillId="0" borderId="0" xfId="5" applyFont="1" applyProtection="1"/>
    <xf numFmtId="172" fontId="5" fillId="2" borderId="3" xfId="5" applyNumberFormat="1" applyFont="1" applyFill="1" applyBorder="1" applyAlignment="1" applyProtection="1">
      <alignment horizontal="right" vertical="center" indent="1"/>
    </xf>
    <xf numFmtId="0" fontId="22" fillId="2" borderId="3" xfId="5" applyFont="1" applyFill="1" applyBorder="1" applyAlignment="1" applyProtection="1">
      <alignment vertical="center"/>
    </xf>
    <xf numFmtId="172" fontId="1" fillId="2" borderId="4" xfId="5" applyNumberFormat="1" applyFont="1" applyFill="1" applyBorder="1" applyAlignment="1" applyProtection="1">
      <alignment horizontal="right" vertical="center" indent="1"/>
    </xf>
    <xf numFmtId="0" fontId="26" fillId="0" borderId="3" xfId="5" applyFont="1" applyBorder="1" applyAlignment="1" applyProtection="1">
      <alignment vertical="center" wrapText="1"/>
    </xf>
    <xf numFmtId="0" fontId="22" fillId="0" borderId="3" xfId="5" applyFont="1" applyBorder="1" applyAlignment="1" applyProtection="1">
      <alignment vertical="center" wrapText="1"/>
    </xf>
    <xf numFmtId="0" fontId="26" fillId="2" borderId="0" xfId="5" applyFont="1" applyFill="1" applyBorder="1" applyAlignment="1" applyProtection="1">
      <alignment horizontal="center" vertical="center"/>
    </xf>
    <xf numFmtId="172" fontId="5" fillId="2" borderId="2" xfId="8" applyNumberFormat="1" applyFont="1" applyFill="1" applyBorder="1" applyAlignment="1" applyProtection="1">
      <alignment horizontal="right" vertical="center" indent="1"/>
    </xf>
    <xf numFmtId="0" fontId="30" fillId="2" borderId="0" xfId="5" applyFont="1" applyFill="1" applyBorder="1" applyAlignment="1" applyProtection="1">
      <alignment horizontal="left" vertical="center"/>
    </xf>
    <xf numFmtId="0" fontId="30" fillId="2" borderId="0" xfId="5" applyFont="1" applyFill="1" applyBorder="1" applyAlignment="1" applyProtection="1">
      <alignment horizontal="left" vertical="center" wrapText="1"/>
    </xf>
    <xf numFmtId="0" fontId="9" fillId="2" borderId="0" xfId="0" applyFont="1" applyFill="1" applyBorder="1" applyProtection="1"/>
    <xf numFmtId="0" fontId="7" fillId="0" borderId="24" xfId="0" applyFont="1" applyBorder="1" applyAlignment="1" applyProtection="1">
      <alignment horizontal="center"/>
    </xf>
    <xf numFmtId="0" fontId="7" fillId="0" borderId="25" xfId="0" applyFont="1" applyBorder="1" applyAlignment="1" applyProtection="1">
      <alignment horizontal="center"/>
    </xf>
    <xf numFmtId="0" fontId="9" fillId="2" borderId="26" xfId="0" applyFont="1" applyFill="1" applyBorder="1" applyProtection="1"/>
    <xf numFmtId="0" fontId="9" fillId="2" borderId="28" xfId="0" applyFont="1" applyFill="1" applyBorder="1" applyProtection="1"/>
    <xf numFmtId="0" fontId="9" fillId="2" borderId="30" xfId="0" applyFont="1" applyFill="1" applyBorder="1" applyProtection="1"/>
    <xf numFmtId="0" fontId="7" fillId="0" borderId="33" xfId="0" applyFont="1" applyBorder="1" applyProtection="1"/>
    <xf numFmtId="0" fontId="7" fillId="2" borderId="0" xfId="0" applyFont="1" applyFill="1" applyBorder="1" applyProtection="1"/>
    <xf numFmtId="10" fontId="7" fillId="2" borderId="0" xfId="2" applyNumberFormat="1" applyFont="1" applyFill="1" applyBorder="1" applyAlignment="1" applyProtection="1">
      <alignment horizontal="right" indent="6"/>
    </xf>
    <xf numFmtId="0" fontId="8" fillId="2" borderId="34" xfId="0" applyFont="1" applyFill="1" applyBorder="1" applyProtection="1"/>
    <xf numFmtId="0" fontId="9" fillId="2" borderId="34" xfId="0" applyFont="1" applyFill="1" applyBorder="1" applyProtection="1"/>
    <xf numFmtId="0" fontId="6" fillId="2" borderId="0" xfId="5" applyFont="1" applyFill="1" applyBorder="1" applyAlignment="1" applyProtection="1">
      <alignment vertical="center" wrapText="1"/>
    </xf>
    <xf numFmtId="0" fontId="5" fillId="2" borderId="14" xfId="5" applyFont="1" applyFill="1" applyBorder="1" applyAlignment="1" applyProtection="1">
      <alignment horizontal="right" vertical="center" wrapText="1"/>
    </xf>
    <xf numFmtId="0" fontId="1" fillId="2" borderId="38" xfId="5" applyFont="1" applyFill="1" applyBorder="1" applyAlignment="1" applyProtection="1">
      <alignment horizontal="center" vertical="center" wrapText="1"/>
    </xf>
    <xf numFmtId="0" fontId="36" fillId="2" borderId="0" xfId="5" applyFont="1" applyFill="1" applyBorder="1" applyAlignment="1" applyProtection="1">
      <alignment vertical="center" wrapText="1"/>
    </xf>
    <xf numFmtId="0" fontId="5" fillId="2" borderId="14" xfId="5" applyFont="1" applyFill="1" applyBorder="1" applyAlignment="1" applyProtection="1">
      <alignment horizontal="right" vertical="center"/>
    </xf>
    <xf numFmtId="0" fontId="1" fillId="2" borderId="0" xfId="5" applyFont="1" applyFill="1" applyBorder="1" applyAlignment="1" applyProtection="1">
      <alignment horizontal="center" vertical="center" wrapText="1"/>
    </xf>
    <xf numFmtId="0" fontId="5" fillId="2" borderId="0" xfId="0" applyFont="1" applyFill="1" applyBorder="1" applyAlignment="1" applyProtection="1">
      <alignment horizontal="center" vertical="center"/>
    </xf>
    <xf numFmtId="0" fontId="38" fillId="2" borderId="18" xfId="5" applyFont="1" applyFill="1" applyBorder="1" applyAlignment="1" applyProtection="1"/>
    <xf numFmtId="0" fontId="8" fillId="2" borderId="18" xfId="5" applyFont="1" applyFill="1" applyBorder="1" applyAlignment="1" applyProtection="1"/>
    <xf numFmtId="0" fontId="4" fillId="5" borderId="3" xfId="5" applyFont="1" applyFill="1" applyBorder="1" applyAlignment="1" applyProtection="1">
      <alignment horizontal="center" vertical="center" wrapText="1"/>
    </xf>
    <xf numFmtId="0" fontId="25" fillId="5" borderId="3" xfId="5" applyFont="1" applyFill="1" applyBorder="1" applyAlignment="1" applyProtection="1">
      <alignment horizontal="center" vertical="center" wrapText="1"/>
    </xf>
    <xf numFmtId="0" fontId="5" fillId="5" borderId="3" xfId="5" applyFont="1" applyFill="1" applyBorder="1" applyAlignment="1" applyProtection="1">
      <alignment horizontal="center" vertical="center" wrapText="1"/>
    </xf>
    <xf numFmtId="0" fontId="5" fillId="5" borderId="39" xfId="5" applyFont="1" applyFill="1" applyBorder="1" applyAlignment="1" applyProtection="1">
      <alignment horizontal="center" vertical="center" wrapText="1"/>
    </xf>
    <xf numFmtId="0" fontId="1" fillId="2" borderId="3" xfId="5" applyFont="1" applyFill="1" applyBorder="1" applyAlignment="1" applyProtection="1">
      <alignment horizontal="justify" vertical="center" wrapText="1"/>
    </xf>
    <xf numFmtId="0" fontId="1" fillId="2" borderId="3" xfId="5" applyFont="1" applyFill="1" applyBorder="1" applyAlignment="1" applyProtection="1">
      <alignment horizontal="center" vertical="center"/>
    </xf>
    <xf numFmtId="0" fontId="38" fillId="2" borderId="18" xfId="5" applyFont="1" applyFill="1" applyBorder="1" applyAlignment="1" applyProtection="1">
      <alignment vertical="center"/>
    </xf>
    <xf numFmtId="0" fontId="8" fillId="2" borderId="18" xfId="5" applyFont="1" applyFill="1" applyBorder="1" applyAlignment="1" applyProtection="1">
      <alignment vertical="center"/>
    </xf>
    <xf numFmtId="4" fontId="8" fillId="2" borderId="18" xfId="5" applyNumberFormat="1" applyFont="1" applyFill="1" applyBorder="1" applyAlignment="1" applyProtection="1">
      <alignment horizontal="right" vertical="center"/>
    </xf>
    <xf numFmtId="0" fontId="1" fillId="2" borderId="40" xfId="5" applyFont="1" applyFill="1" applyBorder="1" applyAlignment="1" applyProtection="1">
      <alignment horizontal="left" vertical="center" wrapText="1"/>
    </xf>
    <xf numFmtId="0" fontId="4" fillId="5" borderId="39" xfId="5" applyFont="1" applyFill="1" applyBorder="1" applyAlignment="1" applyProtection="1">
      <alignment horizontal="center" vertical="center" wrapText="1"/>
    </xf>
    <xf numFmtId="0" fontId="1" fillId="2" borderId="3" xfId="5" applyFont="1" applyFill="1" applyBorder="1" applyAlignment="1" applyProtection="1">
      <alignment vertical="center" wrapText="1"/>
    </xf>
    <xf numFmtId="174" fontId="1" fillId="2" borderId="3" xfId="4" applyNumberFormat="1" applyFont="1" applyFill="1" applyBorder="1" applyAlignment="1" applyProtection="1">
      <alignment horizontal="center" vertical="center"/>
    </xf>
    <xf numFmtId="4" fontId="1" fillId="0" borderId="38" xfId="4" applyNumberFormat="1" applyFont="1" applyBorder="1" applyAlignment="1" applyProtection="1">
      <alignment horizontal="right" vertical="center" indent="1"/>
    </xf>
    <xf numFmtId="0" fontId="1" fillId="5" borderId="3" xfId="5" applyFont="1" applyFill="1" applyBorder="1" applyAlignment="1" applyProtection="1">
      <alignment vertical="center" wrapText="1"/>
    </xf>
    <xf numFmtId="0" fontId="1" fillId="5" borderId="3" xfId="5" applyFont="1" applyFill="1" applyBorder="1" applyAlignment="1" applyProtection="1">
      <alignment horizontal="center" vertical="center" wrapText="1"/>
    </xf>
    <xf numFmtId="174" fontId="1" fillId="5" borderId="3" xfId="4" applyNumberFormat="1" applyFont="1" applyFill="1" applyBorder="1" applyAlignment="1" applyProtection="1">
      <alignment horizontal="center" vertical="center"/>
    </xf>
    <xf numFmtId="4" fontId="1" fillId="5" borderId="38" xfId="4" applyNumberFormat="1" applyFont="1" applyFill="1" applyBorder="1" applyAlignment="1" applyProtection="1">
      <alignment horizontal="right" vertical="center" indent="1"/>
    </xf>
    <xf numFmtId="0" fontId="1" fillId="2" borderId="15" xfId="5" applyFont="1" applyFill="1" applyBorder="1" applyAlignment="1" applyProtection="1">
      <alignment horizontal="left" vertical="center" wrapText="1"/>
    </xf>
    <xf numFmtId="0" fontId="4" fillId="5" borderId="5" xfId="5" applyFont="1" applyFill="1" applyBorder="1" applyAlignment="1" applyProtection="1">
      <alignment horizontal="center" vertical="center" wrapText="1"/>
    </xf>
    <xf numFmtId="0" fontId="39" fillId="2" borderId="41" xfId="5" applyFont="1" applyFill="1" applyBorder="1" applyAlignment="1" applyProtection="1">
      <alignment vertical="center"/>
    </xf>
    <xf numFmtId="0" fontId="38" fillId="2" borderId="41" xfId="5" applyFont="1" applyFill="1" applyBorder="1" applyAlignment="1" applyProtection="1">
      <alignment vertical="center"/>
    </xf>
    <xf numFmtId="0" fontId="8" fillId="2" borderId="41" xfId="5" applyFont="1" applyFill="1" applyBorder="1" applyAlignment="1" applyProtection="1">
      <alignment vertical="center"/>
    </xf>
    <xf numFmtId="4" fontId="8" fillId="2" borderId="41" xfId="5" applyNumberFormat="1" applyFont="1" applyFill="1" applyBorder="1" applyAlignment="1" applyProtection="1">
      <alignment horizontal="right" vertical="center"/>
    </xf>
    <xf numFmtId="0" fontId="1" fillId="2" borderId="0" xfId="5" applyFont="1" applyFill="1" applyBorder="1" applyAlignment="1" applyProtection="1">
      <alignment vertical="center" wrapText="1"/>
    </xf>
    <xf numFmtId="174" fontId="1" fillId="2" borderId="0" xfId="4" applyNumberFormat="1" applyFont="1" applyFill="1" applyBorder="1" applyAlignment="1" applyProtection="1">
      <alignment horizontal="center" vertical="center"/>
    </xf>
    <xf numFmtId="0" fontId="22" fillId="0" borderId="0" xfId="5" applyFont="1" applyProtection="1"/>
    <xf numFmtId="0" fontId="1" fillId="0" borderId="0" xfId="0" applyFont="1"/>
    <xf numFmtId="0" fontId="1" fillId="0" borderId="0" xfId="0" applyFont="1" applyAlignment="1">
      <alignment vertical="center" wrapText="1"/>
    </xf>
    <xf numFmtId="0" fontId="32" fillId="0" borderId="0" xfId="0" applyFont="1"/>
    <xf numFmtId="0" fontId="1" fillId="0" borderId="0" xfId="0" applyFont="1" applyBorder="1" applyProtection="1"/>
    <xf numFmtId="0" fontId="1" fillId="0" borderId="0" xfId="0" applyFont="1" applyBorder="1" applyAlignment="1" applyProtection="1">
      <alignment vertical="center" wrapText="1"/>
    </xf>
    <xf numFmtId="0" fontId="5" fillId="0" borderId="3"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12" xfId="0" applyFont="1" applyBorder="1" applyAlignment="1" applyProtection="1">
      <alignment horizontal="center" vertical="center"/>
    </xf>
    <xf numFmtId="4" fontId="9" fillId="0" borderId="3" xfId="0" applyNumberFormat="1" applyFont="1" applyBorder="1" applyAlignment="1" applyProtection="1">
      <alignment horizontal="left" vertical="center" wrapText="1"/>
    </xf>
    <xf numFmtId="0" fontId="1" fillId="2" borderId="19" xfId="0" applyFont="1" applyFill="1" applyBorder="1" applyAlignment="1" applyProtection="1">
      <alignment horizontal="center" vertical="center"/>
    </xf>
    <xf numFmtId="4" fontId="5" fillId="2" borderId="12" xfId="0" applyNumberFormat="1" applyFont="1" applyFill="1" applyBorder="1" applyAlignment="1" applyProtection="1">
      <alignment horizontal="right" vertical="center" indent="1"/>
    </xf>
    <xf numFmtId="4" fontId="9" fillId="5" borderId="3" xfId="0" applyNumberFormat="1" applyFont="1" applyFill="1" applyBorder="1" applyAlignment="1" applyProtection="1">
      <alignment horizontal="left" vertical="center" wrapText="1"/>
    </xf>
    <xf numFmtId="0" fontId="1" fillId="5" borderId="19" xfId="0" applyFont="1" applyFill="1" applyBorder="1" applyAlignment="1" applyProtection="1">
      <alignment horizontal="center" vertical="center"/>
    </xf>
    <xf numFmtId="4" fontId="1" fillId="0" borderId="0" xfId="0" applyNumberFormat="1" applyFont="1" applyBorder="1" applyAlignment="1">
      <alignment horizontal="center"/>
    </xf>
    <xf numFmtId="4" fontId="1" fillId="2" borderId="0" xfId="0" applyNumberFormat="1" applyFont="1" applyFill="1" applyBorder="1" applyAlignment="1">
      <alignment horizontal="center"/>
    </xf>
    <xf numFmtId="4" fontId="1" fillId="7" borderId="0" xfId="0" applyNumberFormat="1" applyFont="1" applyFill="1" applyBorder="1" applyAlignment="1">
      <alignment horizontal="center"/>
    </xf>
    <xf numFmtId="4" fontId="1" fillId="2" borderId="0" xfId="0" applyNumberFormat="1" applyFont="1" applyFill="1" applyBorder="1" applyAlignment="1"/>
    <xf numFmtId="0" fontId="1" fillId="0" borderId="0" xfId="0" applyFont="1" applyAlignment="1"/>
    <xf numFmtId="0" fontId="5" fillId="4" borderId="3" xfId="0" applyFont="1" applyFill="1" applyBorder="1" applyAlignment="1" applyProtection="1">
      <alignment horizontal="center" vertical="center" wrapText="1"/>
    </xf>
    <xf numFmtId="4" fontId="1" fillId="0" borderId="0" xfId="0" applyNumberFormat="1" applyFont="1" applyBorder="1" applyAlignment="1">
      <alignment horizontal="center" vertical="center"/>
    </xf>
    <xf numFmtId="4" fontId="1" fillId="2" borderId="0" xfId="0" applyNumberFormat="1" applyFont="1" applyFill="1" applyBorder="1" applyAlignment="1">
      <alignment horizontal="center" vertical="center"/>
    </xf>
    <xf numFmtId="4" fontId="1" fillId="2" borderId="0" xfId="0" applyNumberFormat="1" applyFont="1" applyFill="1" applyBorder="1" applyAlignment="1">
      <alignment vertical="center"/>
    </xf>
    <xf numFmtId="10" fontId="1" fillId="2" borderId="5" xfId="2" applyNumberFormat="1" applyFont="1" applyFill="1" applyBorder="1" applyAlignment="1" applyProtection="1">
      <alignment horizontal="center" vertical="center" wrapText="1"/>
    </xf>
    <xf numFmtId="175" fontId="1" fillId="2" borderId="0" xfId="0" applyNumberFormat="1" applyFont="1" applyFill="1" applyBorder="1" applyAlignment="1">
      <alignment horizontal="center" vertical="center"/>
    </xf>
    <xf numFmtId="0" fontId="5" fillId="2" borderId="0" xfId="0" applyFont="1" applyFill="1" applyBorder="1" applyAlignment="1" applyProtection="1">
      <alignment vertical="center" wrapText="1"/>
    </xf>
    <xf numFmtId="0" fontId="5" fillId="2" borderId="0" xfId="0" applyFont="1" applyFill="1" applyBorder="1" applyAlignment="1" applyProtection="1">
      <alignment horizontal="center" vertical="center" wrapText="1"/>
    </xf>
    <xf numFmtId="10" fontId="1" fillId="2" borderId="3" xfId="2" applyNumberFormat="1" applyFont="1" applyFill="1" applyBorder="1" applyAlignment="1" applyProtection="1">
      <alignment horizontal="center" vertical="center" wrapText="1"/>
    </xf>
    <xf numFmtId="0" fontId="1" fillId="2" borderId="0" xfId="0" applyFont="1" applyFill="1" applyBorder="1" applyAlignment="1" applyProtection="1">
      <alignment horizontal="center"/>
    </xf>
    <xf numFmtId="4" fontId="5" fillId="2" borderId="0" xfId="0" applyNumberFormat="1" applyFont="1" applyFill="1" applyBorder="1" applyAlignment="1" applyProtection="1">
      <alignment horizontal="center"/>
    </xf>
    <xf numFmtId="0" fontId="1" fillId="0" borderId="0" xfId="0" applyFont="1" applyAlignment="1">
      <alignment horizontal="left" vertical="center"/>
    </xf>
    <xf numFmtId="0" fontId="5" fillId="0" borderId="0" xfId="0" applyFont="1"/>
    <xf numFmtId="2" fontId="1" fillId="0" borderId="0" xfId="0" applyNumberFormat="1" applyFont="1"/>
    <xf numFmtId="0" fontId="43" fillId="0" borderId="0" xfId="0" applyFont="1"/>
    <xf numFmtId="0" fontId="1" fillId="0" borderId="0" xfId="0" applyFont="1" applyAlignment="1">
      <alignment horizontal="left" vertical="center" wrapText="1"/>
    </xf>
    <xf numFmtId="0" fontId="44" fillId="0" borderId="0" xfId="0" applyFont="1"/>
    <xf numFmtId="0" fontId="45" fillId="0" borderId="0" xfId="0" applyFont="1" applyAlignment="1">
      <alignment vertical="center" wrapText="1"/>
    </xf>
    <xf numFmtId="0" fontId="1" fillId="0" borderId="0" xfId="5" applyFont="1"/>
    <xf numFmtId="0" fontId="1" fillId="8" borderId="0" xfId="5" applyFont="1" applyFill="1"/>
    <xf numFmtId="0" fontId="5" fillId="0" borderId="0" xfId="5" applyFont="1" applyBorder="1" applyAlignment="1" applyProtection="1">
      <alignment vertical="center"/>
    </xf>
    <xf numFmtId="10" fontId="7" fillId="2" borderId="6" xfId="2" applyNumberFormat="1" applyFont="1" applyFill="1" applyBorder="1" applyAlignment="1" applyProtection="1">
      <alignment horizontal="right" indent="3"/>
    </xf>
    <xf numFmtId="4" fontId="9" fillId="0" borderId="3" xfId="0" applyNumberFormat="1" applyFont="1" applyBorder="1" applyAlignment="1" applyProtection="1">
      <alignment horizontal="right" vertical="center" indent="2"/>
    </xf>
    <xf numFmtId="4" fontId="9" fillId="5" borderId="3" xfId="0" applyNumberFormat="1" applyFont="1" applyFill="1" applyBorder="1" applyAlignment="1" applyProtection="1">
      <alignment horizontal="right" vertical="center" indent="2"/>
    </xf>
    <xf numFmtId="4" fontId="1" fillId="2" borderId="3" xfId="0" applyNumberFormat="1" applyFont="1" applyFill="1" applyBorder="1" applyAlignment="1" applyProtection="1">
      <alignment horizontal="right" vertical="center" indent="2"/>
    </xf>
    <xf numFmtId="4" fontId="1" fillId="5" borderId="3" xfId="0" applyNumberFormat="1" applyFont="1" applyFill="1" applyBorder="1" applyAlignment="1" applyProtection="1">
      <alignment horizontal="right" vertical="center" indent="2"/>
    </xf>
    <xf numFmtId="2" fontId="1" fillId="2" borderId="3" xfId="0" applyNumberFormat="1" applyFont="1" applyFill="1" applyBorder="1" applyAlignment="1" applyProtection="1">
      <alignment horizontal="right" vertical="center" indent="2"/>
    </xf>
    <xf numFmtId="2" fontId="1" fillId="5" borderId="3" xfId="0" applyNumberFormat="1" applyFont="1" applyFill="1" applyBorder="1" applyAlignment="1" applyProtection="1">
      <alignment horizontal="right" vertical="center" indent="2"/>
    </xf>
    <xf numFmtId="4" fontId="9" fillId="5" borderId="5" xfId="0" applyNumberFormat="1" applyFont="1" applyFill="1" applyBorder="1" applyAlignment="1" applyProtection="1">
      <alignment horizontal="right" vertical="center" indent="1"/>
    </xf>
    <xf numFmtId="0" fontId="1" fillId="0" borderId="0" xfId="5" applyFont="1" applyBorder="1" applyProtection="1"/>
    <xf numFmtId="0" fontId="1" fillId="0" borderId="0" xfId="5" applyFont="1" applyBorder="1" applyAlignment="1" applyProtection="1">
      <alignment vertical="center" wrapText="1"/>
    </xf>
    <xf numFmtId="0" fontId="1" fillId="0" borderId="0" xfId="5" applyFont="1" applyBorder="1" applyAlignment="1" applyProtection="1">
      <alignment vertical="center"/>
    </xf>
    <xf numFmtId="0" fontId="1" fillId="0" borderId="0" xfId="5" applyFont="1" applyBorder="1" applyAlignment="1" applyProtection="1">
      <alignment horizontal="right" vertical="center"/>
    </xf>
    <xf numFmtId="168" fontId="22" fillId="2" borderId="3" xfId="5" applyNumberFormat="1" applyFont="1" applyFill="1" applyBorder="1" applyAlignment="1" applyProtection="1">
      <alignment vertical="center"/>
    </xf>
    <xf numFmtId="168" fontId="26" fillId="2" borderId="19" xfId="5" applyNumberFormat="1" applyFont="1" applyFill="1" applyBorder="1" applyAlignment="1" applyProtection="1">
      <alignment vertical="center"/>
    </xf>
    <xf numFmtId="168" fontId="5" fillId="2" borderId="0" xfId="5" applyNumberFormat="1" applyFont="1" applyFill="1" applyBorder="1" applyAlignment="1" applyProtection="1">
      <alignment vertical="center"/>
    </xf>
    <xf numFmtId="0" fontId="1" fillId="0" borderId="0" xfId="5" applyFont="1" applyAlignment="1">
      <alignment vertical="center" wrapText="1"/>
    </xf>
    <xf numFmtId="168" fontId="1" fillId="0" borderId="3" xfId="5" applyNumberFormat="1" applyFont="1" applyBorder="1" applyAlignment="1" applyProtection="1">
      <alignment horizontal="right" vertical="center" indent="1"/>
    </xf>
    <xf numFmtId="168" fontId="5" fillId="5" borderId="3" xfId="5" applyNumberFormat="1" applyFont="1" applyFill="1" applyBorder="1" applyAlignment="1" applyProtection="1">
      <alignment horizontal="right" vertical="center" indent="1"/>
    </xf>
    <xf numFmtId="4" fontId="1" fillId="2" borderId="5" xfId="5" applyNumberFormat="1" applyFont="1" applyFill="1" applyBorder="1" applyAlignment="1" applyProtection="1">
      <alignment horizontal="right" vertical="center" wrapText="1" indent="1"/>
    </xf>
    <xf numFmtId="176" fontId="1" fillId="0" borderId="3" xfId="4" applyNumberFormat="1" applyFont="1" applyBorder="1" applyAlignment="1" applyProtection="1">
      <alignment horizontal="right" vertical="center" indent="1"/>
    </xf>
    <xf numFmtId="176" fontId="5" fillId="4" borderId="3" xfId="4" applyNumberFormat="1" applyFont="1" applyFill="1" applyBorder="1" applyAlignment="1" applyProtection="1">
      <alignment horizontal="right" vertical="center" indent="1"/>
    </xf>
    <xf numFmtId="176" fontId="1" fillId="0" borderId="38" xfId="4" applyNumberFormat="1" applyFont="1" applyBorder="1" applyAlignment="1" applyProtection="1">
      <alignment horizontal="right" vertical="center" indent="1"/>
    </xf>
    <xf numFmtId="176" fontId="1" fillId="5" borderId="38" xfId="4" applyNumberFormat="1" applyFont="1" applyFill="1" applyBorder="1" applyAlignment="1" applyProtection="1">
      <alignment horizontal="right" vertical="center" indent="1"/>
    </xf>
    <xf numFmtId="176" fontId="1" fillId="2" borderId="38" xfId="4" applyNumberFormat="1" applyFont="1" applyFill="1" applyBorder="1" applyAlignment="1" applyProtection="1">
      <alignment horizontal="right" vertical="center" indent="1"/>
    </xf>
    <xf numFmtId="167" fontId="1" fillId="9" borderId="3" xfId="5" applyNumberFormat="1" applyFont="1" applyFill="1" applyBorder="1" applyAlignment="1" applyProtection="1">
      <alignment horizontal="center" vertical="center" wrapText="1"/>
    </xf>
    <xf numFmtId="171" fontId="1" fillId="2" borderId="3" xfId="0" applyNumberFormat="1" applyFont="1" applyFill="1" applyBorder="1" applyAlignment="1" applyProtection="1">
      <alignment horizontal="right" vertical="center" indent="1"/>
    </xf>
    <xf numFmtId="0" fontId="0" fillId="0" borderId="37" xfId="0" applyBorder="1" applyProtection="1"/>
    <xf numFmtId="0" fontId="0" fillId="0" borderId="0" xfId="0" applyBorder="1" applyAlignment="1" applyProtection="1"/>
    <xf numFmtId="176" fontId="5" fillId="0" borderId="4" xfId="5" applyNumberFormat="1" applyFont="1" applyBorder="1" applyAlignment="1" applyProtection="1">
      <alignment horizontal="right" vertical="center" indent="1"/>
    </xf>
    <xf numFmtId="4" fontId="1" fillId="2" borderId="17" xfId="5" applyNumberFormat="1" applyFont="1" applyFill="1" applyBorder="1" applyAlignment="1" applyProtection="1">
      <alignment horizontal="right" vertical="center" indent="1"/>
    </xf>
    <xf numFmtId="4" fontId="5" fillId="2" borderId="17" xfId="5" applyNumberFormat="1" applyFont="1" applyFill="1" applyBorder="1" applyAlignment="1" applyProtection="1">
      <alignment horizontal="right" vertical="center" indent="1"/>
    </xf>
    <xf numFmtId="4" fontId="0" fillId="0" borderId="0" xfId="0" applyNumberFormat="1" applyBorder="1" applyProtection="1"/>
    <xf numFmtId="176" fontId="5" fillId="0" borderId="3" xfId="5" applyNumberFormat="1" applyFont="1" applyBorder="1" applyAlignment="1" applyProtection="1">
      <alignment horizontal="right" vertical="center" indent="1"/>
    </xf>
    <xf numFmtId="176" fontId="5" fillId="5" borderId="3" xfId="5" applyNumberFormat="1" applyFont="1" applyFill="1" applyBorder="1" applyAlignment="1" applyProtection="1">
      <alignment horizontal="right" vertical="center" indent="1"/>
    </xf>
    <xf numFmtId="4" fontId="0" fillId="2" borderId="0" xfId="0" applyNumberFormat="1" applyFill="1" applyBorder="1" applyProtection="1"/>
    <xf numFmtId="4" fontId="5" fillId="2" borderId="0" xfId="5" applyNumberFormat="1" applyFont="1" applyFill="1" applyBorder="1" applyAlignment="1" applyProtection="1">
      <alignment horizontal="right" vertical="center" indent="1"/>
    </xf>
    <xf numFmtId="4" fontId="0" fillId="0" borderId="0" xfId="0" applyNumberFormat="1" applyBorder="1" applyAlignment="1" applyProtection="1"/>
    <xf numFmtId="0" fontId="0" fillId="0" borderId="36" xfId="0" applyBorder="1" applyProtection="1"/>
    <xf numFmtId="0" fontId="17" fillId="2" borderId="0" xfId="5" applyFont="1" applyFill="1" applyBorder="1" applyAlignment="1" applyProtection="1">
      <alignment vertical="center"/>
    </xf>
    <xf numFmtId="0" fontId="10" fillId="2" borderId="8" xfId="0" applyFont="1" applyFill="1" applyBorder="1" applyAlignment="1" applyProtection="1"/>
    <xf numFmtId="49" fontId="1" fillId="10" borderId="3" xfId="5" applyNumberFormat="1" applyFont="1" applyFill="1" applyBorder="1" applyAlignment="1" applyProtection="1">
      <alignment horizontal="center" wrapText="1"/>
    </xf>
    <xf numFmtId="167" fontId="1" fillId="10" borderId="3" xfId="5" applyNumberFormat="1" applyFont="1" applyFill="1" applyBorder="1" applyAlignment="1" applyProtection="1">
      <alignment horizontal="center" wrapText="1"/>
    </xf>
    <xf numFmtId="169" fontId="1" fillId="11" borderId="3" xfId="0" applyNumberFormat="1" applyFont="1" applyFill="1" applyBorder="1" applyAlignment="1" applyProtection="1">
      <alignment horizontal="center"/>
    </xf>
    <xf numFmtId="10" fontId="1" fillId="11" borderId="3" xfId="0" applyNumberFormat="1" applyFont="1" applyFill="1" applyBorder="1" applyAlignment="1" applyProtection="1">
      <alignment horizontal="center"/>
    </xf>
    <xf numFmtId="170" fontId="9" fillId="11" borderId="3" xfId="0" applyNumberFormat="1" applyFont="1" applyFill="1" applyBorder="1" applyAlignment="1" applyProtection="1">
      <alignment horizontal="center"/>
    </xf>
    <xf numFmtId="169" fontId="1" fillId="11" borderId="3" xfId="0" applyNumberFormat="1" applyFont="1" applyFill="1" applyBorder="1" applyAlignment="1" applyProtection="1">
      <alignment horizontal="right" indent="1"/>
    </xf>
    <xf numFmtId="169" fontId="9" fillId="11" borderId="3" xfId="0" applyNumberFormat="1" applyFont="1" applyFill="1" applyBorder="1" applyAlignment="1" applyProtection="1">
      <alignment horizontal="right" indent="1"/>
    </xf>
    <xf numFmtId="171" fontId="1" fillId="11" borderId="3" xfId="0" applyNumberFormat="1" applyFont="1" applyFill="1" applyBorder="1" applyAlignment="1" applyProtection="1">
      <alignment horizontal="right" vertical="center" indent="1"/>
    </xf>
    <xf numFmtId="4" fontId="1" fillId="9" borderId="0" xfId="0" applyNumberFormat="1" applyFont="1" applyFill="1" applyBorder="1" applyAlignment="1" applyProtection="1">
      <alignment horizontal="center" vertical="center"/>
    </xf>
    <xf numFmtId="0" fontId="8" fillId="0" borderId="0" xfId="0" applyFont="1" applyBorder="1" applyAlignment="1" applyProtection="1">
      <alignment horizontal="left"/>
    </xf>
    <xf numFmtId="0" fontId="8" fillId="0" borderId="50" xfId="0" applyFont="1" applyBorder="1" applyProtection="1"/>
    <xf numFmtId="0" fontId="0" fillId="0" borderId="50" xfId="0" applyBorder="1" applyProtection="1"/>
    <xf numFmtId="4" fontId="47" fillId="13" borderId="3" xfId="5" applyNumberFormat="1" applyFont="1" applyFill="1" applyBorder="1" applyAlignment="1" applyProtection="1">
      <alignment horizontal="center" vertical="center" wrapText="1"/>
    </xf>
    <xf numFmtId="4" fontId="48" fillId="13" borderId="3" xfId="5" applyNumberFormat="1" applyFont="1" applyFill="1" applyBorder="1" applyAlignment="1" applyProtection="1">
      <alignment horizontal="center" vertical="center"/>
    </xf>
    <xf numFmtId="171" fontId="1" fillId="9" borderId="3" xfId="0" applyNumberFormat="1" applyFont="1" applyFill="1" applyBorder="1" applyAlignment="1" applyProtection="1">
      <alignment horizontal="right" vertical="center" indent="1"/>
    </xf>
    <xf numFmtId="1" fontId="1" fillId="0" borderId="5" xfId="5" applyNumberFormat="1" applyFont="1" applyBorder="1" applyAlignment="1" applyProtection="1">
      <alignment horizontal="center" vertical="center"/>
    </xf>
    <xf numFmtId="1" fontId="1" fillId="0" borderId="15" xfId="5" applyNumberFormat="1" applyFont="1" applyBorder="1" applyAlignment="1" applyProtection="1">
      <alignment horizontal="center" vertical="center"/>
    </xf>
    <xf numFmtId="4" fontId="1" fillId="0" borderId="15" xfId="5" applyNumberFormat="1" applyFont="1" applyBorder="1" applyAlignment="1" applyProtection="1">
      <alignment horizontal="right" vertical="center" indent="1"/>
    </xf>
    <xf numFmtId="1" fontId="1" fillId="0" borderId="3" xfId="5" applyNumberFormat="1" applyFont="1" applyBorder="1" applyAlignment="1" applyProtection="1">
      <alignment horizontal="center" vertical="center"/>
    </xf>
    <xf numFmtId="4" fontId="1" fillId="0" borderId="3" xfId="5" applyNumberFormat="1" applyFont="1" applyBorder="1" applyAlignment="1" applyProtection="1">
      <alignment horizontal="right" vertical="center" indent="1"/>
    </xf>
    <xf numFmtId="0" fontId="9" fillId="0" borderId="0" xfId="0" applyFont="1" applyBorder="1" applyAlignment="1" applyProtection="1">
      <alignment horizontal="left" vertical="center" wrapText="1"/>
    </xf>
    <xf numFmtId="171" fontId="1" fillId="9" borderId="0" xfId="0" applyNumberFormat="1" applyFont="1" applyFill="1" applyBorder="1" applyAlignment="1" applyProtection="1">
      <alignment horizontal="right" vertical="center" indent="1"/>
    </xf>
    <xf numFmtId="1" fontId="1" fillId="0" borderId="0" xfId="5" applyNumberFormat="1" applyFont="1" applyBorder="1" applyAlignment="1" applyProtection="1">
      <alignment horizontal="center" vertical="center"/>
    </xf>
    <xf numFmtId="1" fontId="1" fillId="2" borderId="0" xfId="5" applyNumberFormat="1" applyFont="1" applyFill="1" applyBorder="1" applyAlignment="1" applyProtection="1">
      <alignment horizontal="center" vertical="center" wrapText="1"/>
    </xf>
    <xf numFmtId="4" fontId="48" fillId="9" borderId="0" xfId="9" applyNumberFormat="1" applyFont="1" applyFill="1" applyBorder="1" applyAlignment="1" applyProtection="1">
      <alignment horizontal="right" vertical="center"/>
    </xf>
    <xf numFmtId="0" fontId="5" fillId="11" borderId="3" xfId="5" applyFont="1" applyFill="1" applyBorder="1" applyAlignment="1" applyProtection="1">
      <alignment horizontal="center" vertical="center"/>
    </xf>
    <xf numFmtId="0" fontId="1" fillId="11" borderId="3" xfId="5" applyFont="1" applyFill="1" applyBorder="1" applyAlignment="1" applyProtection="1">
      <alignment horizontal="center" vertical="center"/>
    </xf>
    <xf numFmtId="173" fontId="1" fillId="11" borderId="3" xfId="5" applyNumberFormat="1" applyFont="1" applyFill="1" applyBorder="1" applyAlignment="1" applyProtection="1">
      <alignment horizontal="center" vertical="center"/>
    </xf>
    <xf numFmtId="4" fontId="1" fillId="11" borderId="3" xfId="5" applyNumberFormat="1" applyFont="1" applyFill="1" applyBorder="1" applyAlignment="1" applyProtection="1">
      <alignment horizontal="right" vertical="center" indent="1"/>
    </xf>
    <xf numFmtId="4" fontId="1" fillId="11" borderId="4" xfId="5" applyNumberFormat="1" applyFont="1" applyFill="1" applyBorder="1" applyAlignment="1" applyProtection="1">
      <alignment horizontal="right" vertical="center" indent="1"/>
    </xf>
    <xf numFmtId="4" fontId="1" fillId="11" borderId="19" xfId="5" applyNumberFormat="1" applyFont="1" applyFill="1" applyBorder="1" applyAlignment="1" applyProtection="1">
      <alignment horizontal="right" vertical="center" indent="1"/>
    </xf>
    <xf numFmtId="172" fontId="1" fillId="11" borderId="3" xfId="5" applyNumberFormat="1" applyFont="1" applyFill="1" applyBorder="1" applyAlignment="1" applyProtection="1">
      <alignment horizontal="right" vertical="center" indent="1"/>
    </xf>
    <xf numFmtId="172" fontId="1" fillId="11" borderId="4" xfId="5" applyNumberFormat="1" applyFont="1" applyFill="1" applyBorder="1" applyAlignment="1" applyProtection="1">
      <alignment horizontal="right" vertical="center" indent="1"/>
    </xf>
    <xf numFmtId="10" fontId="7" fillId="11" borderId="27" xfId="2" applyNumberFormat="1" applyFont="1" applyFill="1" applyBorder="1" applyAlignment="1" applyProtection="1">
      <alignment horizontal="right" indent="3"/>
    </xf>
    <xf numFmtId="10" fontId="7" fillId="11" borderId="29" xfId="2" applyNumberFormat="1" applyFont="1" applyFill="1" applyBorder="1" applyAlignment="1" applyProtection="1">
      <alignment horizontal="right" indent="3"/>
    </xf>
    <xf numFmtId="10" fontId="7" fillId="11" borderId="31" xfId="2" applyNumberFormat="1" applyFont="1" applyFill="1" applyBorder="1" applyAlignment="1" applyProtection="1">
      <alignment horizontal="right" indent="3"/>
    </xf>
    <xf numFmtId="4" fontId="1" fillId="11" borderId="38" xfId="1" applyNumberFormat="1" applyFont="1" applyFill="1" applyBorder="1" applyAlignment="1" applyProtection="1">
      <alignment horizontal="right" vertical="center" indent="1"/>
    </xf>
    <xf numFmtId="4" fontId="9" fillId="15" borderId="3" xfId="0" applyNumberFormat="1" applyFont="1" applyFill="1" applyBorder="1" applyAlignment="1" applyProtection="1">
      <alignment horizontal="left" vertical="center" wrapText="1"/>
    </xf>
    <xf numFmtId="0" fontId="1" fillId="15" borderId="19" xfId="0" applyFont="1" applyFill="1" applyBorder="1" applyAlignment="1" applyProtection="1">
      <alignment horizontal="center" vertical="center"/>
    </xf>
    <xf numFmtId="4" fontId="9" fillId="15" borderId="3" xfId="0" applyNumberFormat="1" applyFont="1" applyFill="1" applyBorder="1" applyAlignment="1" applyProtection="1">
      <alignment horizontal="right" vertical="center" indent="2"/>
    </xf>
    <xf numFmtId="4" fontId="1" fillId="15" borderId="3" xfId="0" applyNumberFormat="1" applyFont="1" applyFill="1" applyBorder="1" applyAlignment="1" applyProtection="1">
      <alignment horizontal="right" vertical="center" indent="2"/>
    </xf>
    <xf numFmtId="2" fontId="1" fillId="15" borderId="3" xfId="0" applyNumberFormat="1" applyFont="1" applyFill="1" applyBorder="1" applyAlignment="1" applyProtection="1">
      <alignment horizontal="right" vertical="center" indent="2"/>
    </xf>
    <xf numFmtId="176" fontId="5" fillId="2" borderId="3" xfId="0" applyNumberFormat="1" applyFont="1" applyFill="1" applyBorder="1" applyAlignment="1" applyProtection="1">
      <alignment horizontal="right" vertical="center" indent="2"/>
    </xf>
    <xf numFmtId="176" fontId="5" fillId="5" borderId="3" xfId="0" applyNumberFormat="1" applyFont="1" applyFill="1" applyBorder="1" applyAlignment="1" applyProtection="1">
      <alignment horizontal="right" vertical="center" indent="2"/>
    </xf>
    <xf numFmtId="176" fontId="5" fillId="15" borderId="3" xfId="0" applyNumberFormat="1" applyFont="1" applyFill="1" applyBorder="1" applyAlignment="1" applyProtection="1">
      <alignment horizontal="right" vertical="center" indent="2"/>
    </xf>
    <xf numFmtId="176" fontId="1" fillId="2" borderId="3" xfId="0" applyNumberFormat="1" applyFont="1" applyFill="1" applyBorder="1" applyAlignment="1" applyProtection="1">
      <alignment horizontal="right" vertical="center" indent="2"/>
    </xf>
    <xf numFmtId="176" fontId="1" fillId="5" borderId="3" xfId="0" applyNumberFormat="1" applyFont="1" applyFill="1" applyBorder="1" applyAlignment="1" applyProtection="1">
      <alignment horizontal="right" vertical="center" indent="2"/>
    </xf>
    <xf numFmtId="176" fontId="1" fillId="15" borderId="3" xfId="0" applyNumberFormat="1" applyFont="1" applyFill="1" applyBorder="1" applyAlignment="1" applyProtection="1">
      <alignment horizontal="right" vertical="center" indent="2"/>
    </xf>
    <xf numFmtId="176" fontId="9" fillId="0" borderId="3" xfId="0" applyNumberFormat="1" applyFont="1" applyBorder="1" applyAlignment="1" applyProtection="1">
      <alignment horizontal="right" vertical="center" indent="1"/>
    </xf>
    <xf numFmtId="176" fontId="9" fillId="5" borderId="3" xfId="0" applyNumberFormat="1" applyFont="1" applyFill="1" applyBorder="1" applyAlignment="1" applyProtection="1">
      <alignment horizontal="right" vertical="center" indent="1"/>
    </xf>
    <xf numFmtId="176" fontId="9" fillId="15" borderId="3" xfId="0" applyNumberFormat="1" applyFont="1" applyFill="1" applyBorder="1" applyAlignment="1" applyProtection="1">
      <alignment horizontal="right" vertical="center" indent="1"/>
    </xf>
    <xf numFmtId="176" fontId="48" fillId="0" borderId="3" xfId="5" applyNumberFormat="1" applyFont="1" applyBorder="1" applyAlignment="1" applyProtection="1">
      <alignment horizontal="right" vertical="center" indent="1"/>
    </xf>
    <xf numFmtId="0" fontId="5" fillId="2" borderId="0" xfId="0" applyFont="1" applyFill="1" applyBorder="1" applyAlignment="1" applyProtection="1">
      <alignment horizontal="left" vertical="center" wrapText="1"/>
    </xf>
    <xf numFmtId="4" fontId="9" fillId="2" borderId="5" xfId="0" applyNumberFormat="1" applyFont="1" applyFill="1" applyBorder="1" applyAlignment="1" applyProtection="1">
      <alignment horizontal="right" vertical="center" indent="1"/>
    </xf>
    <xf numFmtId="0" fontId="1" fillId="4" borderId="3" xfId="5" applyFont="1" applyFill="1" applyBorder="1" applyAlignment="1" applyProtection="1">
      <alignment horizontal="center" vertical="center" wrapText="1"/>
    </xf>
    <xf numFmtId="0" fontId="11" fillId="2" borderId="0" xfId="5" applyFont="1" applyFill="1" applyBorder="1" applyAlignment="1" applyProtection="1">
      <alignment horizontal="center" vertical="center"/>
    </xf>
    <xf numFmtId="0" fontId="13" fillId="2" borderId="0" xfId="5" applyFont="1" applyFill="1" applyBorder="1" applyAlignment="1" applyProtection="1">
      <alignment horizontal="center" vertical="center" wrapText="1"/>
    </xf>
    <xf numFmtId="0" fontId="1" fillId="0" borderId="3" xfId="5" applyFont="1" applyBorder="1" applyAlignment="1" applyProtection="1">
      <alignment vertical="center"/>
    </xf>
    <xf numFmtId="0" fontId="1" fillId="2" borderId="3" xfId="5" applyFont="1" applyFill="1" applyBorder="1" applyAlignment="1" applyProtection="1">
      <alignment horizontal="center" vertical="center" wrapText="1"/>
    </xf>
    <xf numFmtId="0" fontId="5" fillId="2" borderId="0" xfId="5" applyFont="1" applyFill="1" applyBorder="1" applyAlignment="1" applyProtection="1">
      <alignment horizontal="center"/>
    </xf>
    <xf numFmtId="0" fontId="5" fillId="2" borderId="0" xfId="5" applyFont="1" applyFill="1" applyBorder="1" applyAlignment="1" applyProtection="1">
      <alignment horizontal="center" vertical="center" wrapText="1"/>
    </xf>
    <xf numFmtId="0" fontId="5" fillId="0" borderId="0" xfId="0" applyFont="1" applyBorder="1" applyAlignment="1" applyProtection="1">
      <alignment horizontal="left" vertical="center" wrapText="1"/>
    </xf>
    <xf numFmtId="0" fontId="5" fillId="2" borderId="5" xfId="0" applyFont="1" applyFill="1" applyBorder="1" applyAlignment="1" applyProtection="1">
      <alignment horizontal="center" vertical="center" wrapText="1"/>
    </xf>
    <xf numFmtId="0" fontId="5" fillId="7" borderId="5" xfId="0" applyFont="1" applyFill="1" applyBorder="1" applyAlignment="1" applyProtection="1">
      <alignment horizontal="center" vertical="center" wrapText="1"/>
    </xf>
    <xf numFmtId="0" fontId="5" fillId="2" borderId="0" xfId="0" applyFont="1" applyFill="1" applyBorder="1" applyAlignment="1" applyProtection="1">
      <alignment horizontal="center"/>
    </xf>
    <xf numFmtId="0" fontId="1" fillId="2" borderId="0" xfId="5" applyFont="1" applyFill="1" applyBorder="1" applyAlignment="1" applyProtection="1">
      <alignment horizontal="center" vertical="center"/>
    </xf>
    <xf numFmtId="4" fontId="1" fillId="5" borderId="3" xfId="5" applyNumberFormat="1" applyFont="1" applyFill="1" applyBorder="1" applyAlignment="1" applyProtection="1">
      <alignment horizontal="right" vertical="center" indent="1"/>
    </xf>
    <xf numFmtId="0" fontId="11" fillId="2" borderId="0" xfId="5" applyFont="1" applyFill="1" applyBorder="1" applyAlignment="1" applyProtection="1">
      <alignment horizontal="center" vertical="center"/>
    </xf>
    <xf numFmtId="0" fontId="13" fillId="2" borderId="0" xfId="5" applyFont="1" applyFill="1" applyBorder="1" applyAlignment="1" applyProtection="1">
      <alignment horizontal="center" vertical="center" wrapText="1"/>
    </xf>
    <xf numFmtId="0" fontId="16" fillId="2" borderId="0" xfId="5" applyFont="1" applyFill="1" applyBorder="1" applyAlignment="1" applyProtection="1">
      <alignment horizontal="center" vertical="center"/>
    </xf>
    <xf numFmtId="0" fontId="5" fillId="12" borderId="45" xfId="5" applyFont="1" applyFill="1" applyBorder="1" applyAlignment="1" applyProtection="1">
      <alignment horizontal="center" wrapText="1"/>
    </xf>
    <xf numFmtId="0" fontId="5" fillId="12" borderId="32" xfId="5" applyFont="1" applyFill="1" applyBorder="1" applyAlignment="1" applyProtection="1">
      <alignment horizontal="center" wrapText="1"/>
    </xf>
    <xf numFmtId="0" fontId="5" fillId="12" borderId="46" xfId="5" applyFont="1" applyFill="1" applyBorder="1" applyAlignment="1" applyProtection="1">
      <alignment horizontal="center" wrapText="1"/>
    </xf>
    <xf numFmtId="0" fontId="5" fillId="4" borderId="3" xfId="5" applyFont="1" applyFill="1" applyBorder="1" applyAlignment="1" applyProtection="1">
      <alignment horizontal="center" vertical="center" wrapText="1"/>
    </xf>
    <xf numFmtId="0" fontId="1" fillId="4" borderId="3" xfId="5" applyFont="1" applyFill="1" applyBorder="1" applyAlignment="1" applyProtection="1">
      <alignment horizontal="center" vertical="center" wrapText="1"/>
    </xf>
    <xf numFmtId="0" fontId="1" fillId="4" borderId="15" xfId="5" applyFont="1" applyFill="1" applyBorder="1" applyAlignment="1" applyProtection="1">
      <alignment horizontal="center" vertical="center" wrapText="1"/>
    </xf>
    <xf numFmtId="0" fontId="1" fillId="11" borderId="4" xfId="5" applyFont="1" applyFill="1" applyBorder="1" applyAlignment="1" applyProtection="1">
      <alignment horizontal="center" vertical="center" wrapText="1"/>
    </xf>
    <xf numFmtId="0" fontId="5" fillId="4" borderId="3" xfId="5" applyFont="1" applyFill="1" applyBorder="1" applyAlignment="1" applyProtection="1">
      <alignment horizontal="center" wrapText="1"/>
    </xf>
    <xf numFmtId="4" fontId="9" fillId="2" borderId="5" xfId="0" applyNumberFormat="1" applyFont="1" applyFill="1" applyBorder="1" applyAlignment="1" applyProtection="1">
      <alignment horizontal="right" vertical="center" indent="1"/>
    </xf>
    <xf numFmtId="4" fontId="1" fillId="2" borderId="3" xfId="5" applyNumberFormat="1" applyFont="1" applyFill="1" applyBorder="1" applyAlignment="1" applyProtection="1">
      <alignment horizontal="right" vertical="center" wrapText="1" indent="1"/>
    </xf>
    <xf numFmtId="0" fontId="1" fillId="11" borderId="3" xfId="5" applyFont="1" applyFill="1" applyBorder="1" applyAlignment="1" applyProtection="1">
      <alignment horizontal="center" vertical="center" wrapText="1"/>
    </xf>
    <xf numFmtId="0" fontId="5" fillId="2" borderId="0" xfId="0" applyFont="1" applyFill="1" applyBorder="1" applyAlignment="1" applyProtection="1">
      <alignment horizontal="left" vertical="center" wrapText="1"/>
    </xf>
    <xf numFmtId="0" fontId="8" fillId="0" borderId="18" xfId="0" applyFont="1" applyBorder="1" applyAlignment="1" applyProtection="1">
      <alignment horizontal="left"/>
    </xf>
    <xf numFmtId="0" fontId="1" fillId="2" borderId="0" xfId="0" applyFont="1" applyFill="1" applyBorder="1" applyAlignment="1" applyProtection="1">
      <alignment horizontal="left" wrapText="1"/>
    </xf>
    <xf numFmtId="0" fontId="5" fillId="12" borderId="47" xfId="5" applyFont="1" applyFill="1" applyBorder="1" applyAlignment="1" applyProtection="1">
      <alignment horizontal="center" wrapText="1"/>
    </xf>
    <xf numFmtId="0" fontId="5" fillId="12" borderId="48" xfId="5" applyFont="1" applyFill="1" applyBorder="1" applyAlignment="1" applyProtection="1">
      <alignment horizontal="center" wrapText="1"/>
    </xf>
    <xf numFmtId="0" fontId="5" fillId="12" borderId="49" xfId="5" applyFont="1" applyFill="1" applyBorder="1" applyAlignment="1" applyProtection="1">
      <alignment horizontal="center" wrapText="1"/>
    </xf>
    <xf numFmtId="4" fontId="48" fillId="13" borderId="19" xfId="5" applyNumberFormat="1" applyFont="1" applyFill="1" applyBorder="1" applyAlignment="1" applyProtection="1">
      <alignment horizontal="center" vertical="center" wrapText="1"/>
    </xf>
    <xf numFmtId="4" fontId="48" fillId="13" borderId="38" xfId="5" applyNumberFormat="1" applyFont="1" applyFill="1" applyBorder="1" applyAlignment="1" applyProtection="1">
      <alignment horizontal="center" vertical="center" wrapText="1"/>
    </xf>
    <xf numFmtId="4" fontId="48" fillId="13" borderId="19" xfId="5" applyNumberFormat="1" applyFont="1" applyFill="1" applyBorder="1" applyAlignment="1" applyProtection="1">
      <alignment horizontal="center" vertical="center"/>
    </xf>
    <xf numFmtId="4" fontId="48" fillId="13" borderId="38" xfId="5" applyNumberFormat="1" applyFont="1" applyFill="1" applyBorder="1" applyAlignment="1" applyProtection="1">
      <alignment horizontal="center" vertical="center"/>
    </xf>
    <xf numFmtId="4" fontId="1" fillId="2" borderId="9" xfId="5" applyNumberFormat="1" applyFont="1" applyFill="1" applyBorder="1" applyAlignment="1" applyProtection="1">
      <alignment horizontal="right" vertical="center" wrapText="1" indent="1"/>
    </xf>
    <xf numFmtId="4" fontId="1" fillId="11" borderId="3" xfId="0" applyNumberFormat="1" applyFont="1" applyFill="1" applyBorder="1" applyAlignment="1" applyProtection="1">
      <alignment horizontal="center" vertical="center"/>
    </xf>
    <xf numFmtId="4" fontId="1" fillId="2" borderId="7" xfId="5" applyNumberFormat="1" applyFont="1" applyFill="1" applyBorder="1" applyAlignment="1" applyProtection="1">
      <alignment horizontal="right" vertical="center" wrapText="1" indent="1"/>
    </xf>
    <xf numFmtId="1" fontId="1" fillId="2" borderId="12" xfId="5" applyNumberFormat="1" applyFont="1" applyFill="1" applyBorder="1" applyAlignment="1" applyProtection="1">
      <alignment horizontal="center" vertical="center" wrapText="1"/>
    </xf>
    <xf numFmtId="1" fontId="1" fillId="2" borderId="14" xfId="5" applyNumberFormat="1" applyFont="1" applyFill="1" applyBorder="1" applyAlignment="1" applyProtection="1">
      <alignment horizontal="center" vertical="center" wrapText="1"/>
    </xf>
    <xf numFmtId="176" fontId="48" fillId="0" borderId="51" xfId="5" applyNumberFormat="1" applyFont="1" applyBorder="1" applyAlignment="1" applyProtection="1">
      <alignment horizontal="right" vertical="center" indent="1"/>
    </xf>
    <xf numFmtId="176" fontId="48" fillId="0" borderId="52" xfId="5" applyNumberFormat="1" applyFont="1" applyBorder="1" applyAlignment="1" applyProtection="1">
      <alignment horizontal="right" vertical="center" indent="1"/>
    </xf>
    <xf numFmtId="1" fontId="1" fillId="2" borderId="3" xfId="5" applyNumberFormat="1" applyFont="1" applyFill="1" applyBorder="1" applyAlignment="1" applyProtection="1">
      <alignment horizontal="center" vertical="center" wrapText="1"/>
    </xf>
    <xf numFmtId="176" fontId="48" fillId="0" borderId="3" xfId="5" applyNumberFormat="1" applyFont="1" applyBorder="1" applyAlignment="1" applyProtection="1">
      <alignment horizontal="right" vertical="center" indent="1"/>
    </xf>
    <xf numFmtId="176" fontId="48" fillId="0" borderId="4" xfId="5" applyNumberFormat="1" applyFont="1" applyBorder="1" applyAlignment="1" applyProtection="1">
      <alignment horizontal="right" vertical="center" indent="1"/>
    </xf>
    <xf numFmtId="7" fontId="48" fillId="14" borderId="3" xfId="1" applyNumberFormat="1" applyFont="1" applyFill="1" applyBorder="1" applyAlignment="1" applyProtection="1">
      <alignment horizontal="center" vertical="center"/>
    </xf>
    <xf numFmtId="176" fontId="48" fillId="0" borderId="17" xfId="5" applyNumberFormat="1" applyFont="1" applyBorder="1" applyAlignment="1" applyProtection="1">
      <alignment horizontal="right" vertical="center" indent="1"/>
    </xf>
    <xf numFmtId="1" fontId="1" fillId="2" borderId="5" xfId="5" applyNumberFormat="1" applyFont="1" applyFill="1" applyBorder="1" applyAlignment="1" applyProtection="1">
      <alignment horizontal="center" vertical="center" wrapText="1"/>
    </xf>
    <xf numFmtId="176" fontId="48" fillId="0" borderId="53" xfId="5" applyNumberFormat="1" applyFont="1" applyBorder="1" applyAlignment="1" applyProtection="1">
      <alignment horizontal="right" vertical="center" indent="1"/>
    </xf>
    <xf numFmtId="176" fontId="48" fillId="0" borderId="54" xfId="5" applyNumberFormat="1" applyFont="1" applyBorder="1" applyAlignment="1" applyProtection="1">
      <alignment horizontal="right" vertical="center" indent="1"/>
    </xf>
    <xf numFmtId="0" fontId="21" fillId="2" borderId="0" xfId="5" applyFont="1" applyFill="1" applyBorder="1" applyAlignment="1" applyProtection="1">
      <alignment horizontal="center"/>
    </xf>
    <xf numFmtId="0" fontId="1" fillId="2" borderId="0" xfId="5" applyFont="1" applyFill="1" applyBorder="1" applyAlignment="1" applyProtection="1">
      <alignment horizontal="center"/>
    </xf>
    <xf numFmtId="0" fontId="5" fillId="2" borderId="0" xfId="5" applyFont="1" applyFill="1" applyBorder="1" applyAlignment="1" applyProtection="1">
      <alignment horizontal="center"/>
    </xf>
    <xf numFmtId="0" fontId="5" fillId="4" borderId="10" xfId="5" applyFont="1" applyFill="1" applyBorder="1" applyAlignment="1" applyProtection="1">
      <alignment horizontal="center" vertical="center"/>
    </xf>
    <xf numFmtId="0" fontId="5" fillId="4" borderId="11" xfId="5" applyFont="1" applyFill="1" applyBorder="1" applyAlignment="1" applyProtection="1">
      <alignment horizontal="center" vertical="center"/>
    </xf>
    <xf numFmtId="0" fontId="1" fillId="2" borderId="3" xfId="5" applyFont="1" applyFill="1" applyBorder="1" applyAlignment="1" applyProtection="1">
      <alignment horizontal="center" vertical="center" wrapText="1"/>
    </xf>
    <xf numFmtId="0" fontId="5" fillId="4" borderId="6" xfId="5" applyFont="1" applyFill="1" applyBorder="1" applyAlignment="1" applyProtection="1">
      <alignment horizontal="center" vertical="center"/>
    </xf>
    <xf numFmtId="0" fontId="23" fillId="2" borderId="1" xfId="7" applyFont="1" applyFill="1" applyBorder="1" applyAlignment="1" applyProtection="1">
      <alignment horizontal="left"/>
    </xf>
    <xf numFmtId="0" fontId="1" fillId="0" borderId="3" xfId="5" applyFont="1" applyBorder="1" applyAlignment="1" applyProtection="1">
      <alignment vertical="center"/>
    </xf>
    <xf numFmtId="0" fontId="25" fillId="2" borderId="20" xfId="5" applyFont="1" applyFill="1" applyBorder="1" applyAlignment="1" applyProtection="1">
      <alignment horizontal="right" vertical="center" wrapText="1"/>
    </xf>
    <xf numFmtId="0" fontId="5" fillId="0" borderId="3" xfId="5" applyFont="1" applyBorder="1" applyAlignment="1" applyProtection="1">
      <alignment vertical="center"/>
    </xf>
    <xf numFmtId="0" fontId="1" fillId="0" borderId="3" xfId="5" applyFont="1" applyBorder="1" applyProtection="1"/>
    <xf numFmtId="0" fontId="25" fillId="2" borderId="23" xfId="5" applyFont="1" applyFill="1" applyBorder="1" applyAlignment="1" applyProtection="1">
      <alignment horizontal="right" vertical="center" wrapText="1"/>
    </xf>
    <xf numFmtId="0" fontId="1" fillId="0" borderId="4" xfId="5" applyFont="1" applyBorder="1" applyProtection="1"/>
    <xf numFmtId="0" fontId="5" fillId="2" borderId="3" xfId="5" applyFont="1" applyFill="1" applyBorder="1" applyAlignment="1" applyProtection="1"/>
    <xf numFmtId="0" fontId="1" fillId="0" borderId="4" xfId="5" applyFont="1" applyBorder="1" applyAlignment="1" applyProtection="1">
      <alignment horizontal="justify" vertical="center" wrapText="1"/>
    </xf>
    <xf numFmtId="0" fontId="5" fillId="4" borderId="6" xfId="5" applyFont="1" applyFill="1" applyBorder="1" applyAlignment="1" applyProtection="1">
      <alignment horizontal="center" vertical="center" wrapText="1"/>
    </xf>
    <xf numFmtId="0" fontId="28" fillId="2" borderId="2" xfId="8" applyFont="1" applyFill="1" applyBorder="1" applyAlignment="1" applyProtection="1">
      <alignment horizontal="left" vertical="center" wrapText="1"/>
    </xf>
    <xf numFmtId="0" fontId="5" fillId="6" borderId="3" xfId="5" applyFont="1" applyFill="1" applyBorder="1" applyAlignment="1" applyProtection="1">
      <alignment horizontal="center" vertical="center"/>
    </xf>
    <xf numFmtId="0" fontId="7" fillId="4" borderId="11" xfId="0" applyFont="1" applyFill="1" applyBorder="1" applyAlignment="1" applyProtection="1">
      <alignment horizontal="center"/>
    </xf>
    <xf numFmtId="0" fontId="33" fillId="2" borderId="32" xfId="0" applyFont="1" applyFill="1" applyBorder="1" applyAlignment="1" applyProtection="1">
      <alignment horizontal="left" vertical="top" wrapText="1"/>
    </xf>
    <xf numFmtId="0" fontId="35" fillId="2" borderId="35" xfId="0" applyFont="1" applyFill="1" applyBorder="1" applyAlignment="1" applyProtection="1">
      <alignment horizontal="left" wrapText="1"/>
    </xf>
    <xf numFmtId="0" fontId="31" fillId="2" borderId="0" xfId="0" applyFont="1" applyFill="1" applyBorder="1" applyAlignment="1" applyProtection="1">
      <alignment horizontal="center"/>
    </xf>
    <xf numFmtId="0" fontId="3" fillId="2" borderId="0" xfId="0" applyFont="1" applyFill="1" applyBorder="1" applyAlignment="1" applyProtection="1">
      <alignment horizontal="center" vertical="center" wrapText="1"/>
    </xf>
    <xf numFmtId="0" fontId="4" fillId="2" borderId="0" xfId="0" applyFont="1" applyFill="1" applyBorder="1" applyAlignment="1" applyProtection="1">
      <alignment horizontal="center"/>
    </xf>
    <xf numFmtId="0" fontId="6" fillId="2" borderId="0" xfId="0" applyFont="1" applyFill="1" applyBorder="1" applyAlignment="1" applyProtection="1">
      <alignment horizontal="center"/>
    </xf>
    <xf numFmtId="0" fontId="7" fillId="4" borderId="10" xfId="0" applyFont="1" applyFill="1" applyBorder="1" applyAlignment="1" applyProtection="1">
      <alignment horizontal="center"/>
    </xf>
    <xf numFmtId="0" fontId="37" fillId="4" borderId="6" xfId="5" applyFont="1" applyFill="1" applyBorder="1" applyAlignment="1" applyProtection="1">
      <alignment horizontal="center" vertical="center" wrapText="1"/>
    </xf>
    <xf numFmtId="0" fontId="38" fillId="2" borderId="0" xfId="5" applyFont="1" applyFill="1" applyBorder="1" applyAlignment="1" applyProtection="1">
      <alignment horizontal="center"/>
    </xf>
    <xf numFmtId="0" fontId="38" fillId="2" borderId="18" xfId="5" applyFont="1" applyFill="1" applyBorder="1" applyAlignment="1" applyProtection="1">
      <alignment horizontal="center"/>
    </xf>
    <xf numFmtId="0" fontId="39" fillId="2" borderId="0" xfId="5" applyFont="1" applyFill="1" applyBorder="1" applyAlignment="1" applyProtection="1">
      <alignment horizontal="center"/>
    </xf>
    <xf numFmtId="0" fontId="36" fillId="2" borderId="0" xfId="5" applyFont="1" applyFill="1" applyBorder="1" applyAlignment="1" applyProtection="1">
      <alignment horizontal="center" vertical="center" wrapText="1"/>
    </xf>
    <xf numFmtId="0" fontId="3" fillId="2" borderId="0" xfId="5" applyFont="1" applyFill="1" applyBorder="1" applyAlignment="1" applyProtection="1">
      <alignment horizontal="center" vertical="center" wrapText="1"/>
    </xf>
    <xf numFmtId="0" fontId="5" fillId="2" borderId="0" xfId="5" applyFont="1" applyFill="1" applyBorder="1" applyAlignment="1" applyProtection="1">
      <alignment horizontal="center" vertical="center" wrapText="1"/>
    </xf>
    <xf numFmtId="0" fontId="5" fillId="4" borderId="10" xfId="0" applyFont="1" applyFill="1" applyBorder="1" applyAlignment="1" applyProtection="1">
      <alignment horizontal="center" vertical="center"/>
    </xf>
    <xf numFmtId="0" fontId="5" fillId="4" borderId="11" xfId="0" applyFont="1" applyFill="1" applyBorder="1" applyAlignment="1" applyProtection="1">
      <alignment horizontal="center" vertical="center"/>
    </xf>
    <xf numFmtId="0" fontId="21" fillId="2" borderId="0" xfId="0" applyFont="1" applyFill="1" applyBorder="1" applyAlignment="1" applyProtection="1">
      <alignment horizontal="center"/>
    </xf>
    <xf numFmtId="0" fontId="1" fillId="2" borderId="0" xfId="0" applyFont="1" applyFill="1" applyBorder="1" applyAlignment="1" applyProtection="1">
      <alignment horizontal="center" vertical="center" wrapText="1"/>
    </xf>
    <xf numFmtId="0" fontId="5" fillId="2" borderId="0" xfId="0" applyFont="1" applyFill="1" applyBorder="1" applyAlignment="1" applyProtection="1">
      <alignment horizontal="center"/>
    </xf>
    <xf numFmtId="0" fontId="5" fillId="4" borderId="45" xfId="5" applyFont="1" applyFill="1" applyBorder="1" applyAlignment="1" applyProtection="1">
      <alignment horizontal="center" vertical="center" wrapText="1"/>
    </xf>
    <xf numFmtId="0" fontId="5" fillId="4" borderId="32" xfId="5" applyFont="1" applyFill="1" applyBorder="1" applyAlignment="1" applyProtection="1">
      <alignment horizontal="center" vertical="center" wrapText="1"/>
    </xf>
    <xf numFmtId="0" fontId="5" fillId="4" borderId="46" xfId="5" applyFont="1" applyFill="1" applyBorder="1" applyAlignment="1" applyProtection="1">
      <alignment horizontal="center" vertical="center" wrapText="1"/>
    </xf>
    <xf numFmtId="0" fontId="5" fillId="4" borderId="47" xfId="5" applyFont="1" applyFill="1" applyBorder="1" applyAlignment="1" applyProtection="1">
      <alignment horizontal="center" vertical="center" wrapText="1"/>
    </xf>
    <xf numFmtId="0" fontId="5" fillId="4" borderId="48" xfId="5" applyFont="1" applyFill="1" applyBorder="1" applyAlignment="1" applyProtection="1">
      <alignment horizontal="center" vertical="center" wrapText="1"/>
    </xf>
    <xf numFmtId="0" fontId="5" fillId="4" borderId="49" xfId="5" applyFont="1" applyFill="1" applyBorder="1" applyAlignment="1" applyProtection="1">
      <alignment horizontal="center" vertical="center" wrapText="1"/>
    </xf>
    <xf numFmtId="0" fontId="1" fillId="0" borderId="0" xfId="0" applyFont="1" applyBorder="1" applyAlignment="1" applyProtection="1">
      <alignment horizontal="center"/>
    </xf>
    <xf numFmtId="0" fontId="5" fillId="2" borderId="15" xfId="0" applyFont="1" applyFill="1" applyBorder="1" applyAlignment="1" applyProtection="1">
      <alignment horizontal="center" vertical="center" wrapText="1"/>
    </xf>
    <xf numFmtId="0" fontId="5" fillId="2" borderId="3" xfId="0" applyFont="1" applyFill="1" applyBorder="1" applyAlignment="1" applyProtection="1">
      <alignment horizontal="center" vertical="center" wrapText="1"/>
    </xf>
    <xf numFmtId="0" fontId="5" fillId="4" borderId="39" xfId="0" applyFont="1" applyFill="1" applyBorder="1" applyAlignment="1" applyProtection="1">
      <alignment horizontal="center" vertical="center" wrapText="1"/>
    </xf>
    <xf numFmtId="0" fontId="5" fillId="4" borderId="39" xfId="0" applyFont="1" applyFill="1" applyBorder="1" applyAlignment="1" applyProtection="1">
      <alignment horizontal="center" vertical="center"/>
    </xf>
    <xf numFmtId="0" fontId="5" fillId="2" borderId="4" xfId="0" applyFont="1" applyFill="1" applyBorder="1" applyAlignment="1" applyProtection="1">
      <alignment horizontal="center" vertical="center" wrapText="1"/>
    </xf>
    <xf numFmtId="0" fontId="5" fillId="2" borderId="39" xfId="0" applyFont="1" applyFill="1" applyBorder="1" applyAlignment="1" applyProtection="1">
      <alignment horizontal="center" vertical="center" wrapText="1"/>
    </xf>
    <xf numFmtId="0" fontId="40" fillId="2" borderId="42" xfId="5" applyFont="1" applyFill="1" applyBorder="1" applyAlignment="1" applyProtection="1">
      <alignment horizontal="center"/>
    </xf>
    <xf numFmtId="0" fontId="5" fillId="2" borderId="5" xfId="0" applyFont="1" applyFill="1" applyBorder="1" applyAlignment="1" applyProtection="1">
      <alignment horizontal="center" vertical="center" wrapText="1"/>
    </xf>
    <xf numFmtId="0" fontId="5" fillId="7" borderId="5" xfId="0" applyFont="1" applyFill="1" applyBorder="1" applyAlignment="1" applyProtection="1">
      <alignment horizontal="center" vertical="center" wrapText="1"/>
    </xf>
    <xf numFmtId="0" fontId="5" fillId="7" borderId="5" xfId="0" applyFont="1" applyFill="1" applyBorder="1" applyAlignment="1" applyProtection="1">
      <alignment horizontal="center" vertical="center"/>
    </xf>
    <xf numFmtId="0" fontId="41" fillId="2" borderId="43" xfId="5" applyFont="1" applyFill="1" applyBorder="1" applyAlignment="1" applyProtection="1">
      <alignment horizontal="center"/>
    </xf>
    <xf numFmtId="0" fontId="42" fillId="2" borderId="13" xfId="5" applyFont="1" applyFill="1" applyBorder="1" applyAlignment="1" applyProtection="1">
      <alignment horizontal="center"/>
    </xf>
    <xf numFmtId="0" fontId="5" fillId="0" borderId="0" xfId="0" applyFont="1" applyBorder="1" applyAlignment="1" applyProtection="1">
      <alignment horizontal="left" vertical="center" wrapText="1"/>
    </xf>
    <xf numFmtId="0" fontId="1" fillId="2" borderId="0" xfId="5" applyFont="1" applyFill="1" applyBorder="1" applyAlignment="1" applyProtection="1">
      <alignment horizontal="center" vertical="center"/>
    </xf>
    <xf numFmtId="0" fontId="5" fillId="4" borderId="10" xfId="5" applyFont="1" applyFill="1" applyBorder="1" applyAlignment="1" applyProtection="1">
      <alignment horizontal="center" vertical="center" wrapText="1"/>
    </xf>
    <xf numFmtId="0" fontId="5" fillId="4" borderId="11" xfId="5" applyFont="1" applyFill="1" applyBorder="1" applyAlignment="1" applyProtection="1">
      <alignment horizontal="center" vertical="center" wrapText="1"/>
    </xf>
    <xf numFmtId="0" fontId="5" fillId="2" borderId="44" xfId="5" applyFont="1" applyFill="1" applyBorder="1" applyAlignment="1" applyProtection="1">
      <alignment horizontal="center" wrapText="1"/>
    </xf>
    <xf numFmtId="0" fontId="1" fillId="0" borderId="0" xfId="5" applyFont="1" applyBorder="1" applyAlignment="1" applyProtection="1">
      <alignment horizontal="center"/>
    </xf>
  </cellXfs>
  <cellStyles count="10">
    <cellStyle name="Excel Built-in Heading 2" xfId="7"/>
    <cellStyle name="Excel Built-in Heading 3" xfId="8"/>
    <cellStyle name="Moeda" xfId="1" builtinId="4"/>
    <cellStyle name="Moeda 2" xfId="3"/>
    <cellStyle name="Moeda_Plan1" xfId="4"/>
    <cellStyle name="Normal" xfId="0" builtinId="0"/>
    <cellStyle name="Normal 2" xfId="5"/>
    <cellStyle name="Normal 3" xfId="9"/>
    <cellStyle name="Porcentagem" xfId="2" builtinId="5"/>
    <cellStyle name="Vírgula 2" xfId="6"/>
  </cellStyles>
  <dxfs count="4">
    <dxf>
      <font>
        <b/>
        <i val="0"/>
        <color rgb="FFFF0000"/>
      </font>
    </dxf>
    <dxf>
      <font>
        <b/>
        <i val="0"/>
        <color rgb="FFFF0000"/>
      </font>
    </dxf>
    <dxf>
      <font>
        <b/>
        <i val="0"/>
        <color rgb="FFFF0000"/>
      </font>
    </dxf>
    <dxf>
      <font>
        <b/>
        <i val="0"/>
        <color rgb="FFFF0000"/>
      </font>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1D08B8"/>
      <rgbColor rgb="FF4F6228"/>
      <rgbColor rgb="FF800080"/>
      <rgbColor rgb="FF008080"/>
      <rgbColor rgb="FFBFBFBF"/>
      <rgbColor rgb="FF808080"/>
      <rgbColor rgb="FF8EB4E3"/>
      <rgbColor rgb="FF993366"/>
      <rgbColor rgb="FFFFFFCC"/>
      <rgbColor rgb="FFDCE6F2"/>
      <rgbColor rgb="FF660066"/>
      <rgbColor rgb="FFFF8080"/>
      <rgbColor rgb="FF376092"/>
      <rgbColor rgb="FFC6D9F1"/>
      <rgbColor rgb="FF000080"/>
      <rgbColor rgb="FFFF00FF"/>
      <rgbColor rgb="FFFFFF00"/>
      <rgbColor rgb="FF00FFFF"/>
      <rgbColor rgb="FF800080"/>
      <rgbColor rgb="FF800000"/>
      <rgbColor rgb="FF008080"/>
      <rgbColor rgb="FF0000FF"/>
      <rgbColor rgb="FF00CCFF"/>
      <rgbColor rgb="FFEBF1DE"/>
      <rgbColor rgb="FFE2EFD9"/>
      <rgbColor rgb="FFF2F2F2"/>
      <rgbColor rgb="FFA7C0DE"/>
      <rgbColor rgb="FFD9D9D9"/>
      <rgbColor rgb="FF95B3D7"/>
      <rgbColor rgb="FFFCD5B5"/>
      <rgbColor rgb="FF558ED5"/>
      <rgbColor rgb="FFB9CDE5"/>
      <rgbColor rgb="FFC3D69B"/>
      <rgbColor rgb="FFD7E4BD"/>
      <rgbColor rgb="FFFF9900"/>
      <rgbColor rgb="FFE46C0A"/>
      <rgbColor rgb="FF595959"/>
      <rgbColor rgb="FF7F7F7F"/>
      <rgbColor rgb="FF003366"/>
      <rgbColor rgb="FF339966"/>
      <rgbColor rgb="FF003300"/>
      <rgbColor rgb="FF333300"/>
      <rgbColor rgb="FF993300"/>
      <rgbColor rgb="FF993366"/>
      <rgbColor rgb="FF1F497D"/>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9</xdr:col>
      <xdr:colOff>361950</xdr:colOff>
      <xdr:row>40</xdr:row>
      <xdr:rowOff>0</xdr:rowOff>
    </xdr:to>
    <xdr:sp macro="" textlink="">
      <xdr:nvSpPr>
        <xdr:cNvPr id="1030" name="_x0000_t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9</xdr:col>
      <xdr:colOff>361950</xdr:colOff>
      <xdr:row>40</xdr:row>
      <xdr:rowOff>0</xdr:rowOff>
    </xdr:to>
    <xdr:sp macro="" textlink="">
      <xdr:nvSpPr>
        <xdr:cNvPr id="1028" name="_x0000_t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9</xdr:col>
      <xdr:colOff>361950</xdr:colOff>
      <xdr:row>40</xdr:row>
      <xdr:rowOff>0</xdr:rowOff>
    </xdr:to>
    <xdr:sp macro="" textlink="">
      <xdr:nvSpPr>
        <xdr:cNvPr id="1026" name="_x0000_t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9</xdr:col>
      <xdr:colOff>361950</xdr:colOff>
      <xdr:row>40</xdr:row>
      <xdr:rowOff>0</xdr:rowOff>
    </xdr:to>
    <xdr:sp macro="" textlink="">
      <xdr:nvSpPr>
        <xdr:cNvPr id="2" name="AutoShape 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361950</xdr:colOff>
      <xdr:row>40</xdr:row>
      <xdr:rowOff>0</xdr:rowOff>
    </xdr:to>
    <xdr:sp macro="" textlink="">
      <xdr:nvSpPr>
        <xdr:cNvPr id="3" name="AutoShape 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361950</xdr:colOff>
      <xdr:row>40</xdr:row>
      <xdr:rowOff>0</xdr:rowOff>
    </xdr:to>
    <xdr:sp macro="" textlink="">
      <xdr:nvSpPr>
        <xdr:cNvPr id="4"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361950</xdr:colOff>
      <xdr:row>40</xdr:row>
      <xdr:rowOff>0</xdr:rowOff>
    </xdr:to>
    <xdr:sp macro="" textlink="">
      <xdr:nvSpPr>
        <xdr:cNvPr id="5" name="AutoShape 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361950</xdr:colOff>
      <xdr:row>40</xdr:row>
      <xdr:rowOff>0</xdr:rowOff>
    </xdr:to>
    <xdr:sp macro="" textlink="">
      <xdr:nvSpPr>
        <xdr:cNvPr id="6" name="AutoShape 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361950</xdr:colOff>
      <xdr:row>40</xdr:row>
      <xdr:rowOff>0</xdr:rowOff>
    </xdr:to>
    <xdr:sp macro="" textlink="">
      <xdr:nvSpPr>
        <xdr:cNvPr id="7"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361950</xdr:colOff>
      <xdr:row>40</xdr:row>
      <xdr:rowOff>0</xdr:rowOff>
    </xdr:to>
    <xdr:sp macro="" textlink="">
      <xdr:nvSpPr>
        <xdr:cNvPr id="8" name="AutoShape 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361950</xdr:colOff>
      <xdr:row>40</xdr:row>
      <xdr:rowOff>0</xdr:rowOff>
    </xdr:to>
    <xdr:sp macro="" textlink="">
      <xdr:nvSpPr>
        <xdr:cNvPr id="9" name="AutoShape 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361950</xdr:colOff>
      <xdr:row>40</xdr:row>
      <xdr:rowOff>0</xdr:rowOff>
    </xdr:to>
    <xdr:sp macro="" textlink="">
      <xdr:nvSpPr>
        <xdr:cNvPr id="10"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361950</xdr:colOff>
      <xdr:row>40</xdr:row>
      <xdr:rowOff>0</xdr:rowOff>
    </xdr:to>
    <xdr:sp macro="" textlink="">
      <xdr:nvSpPr>
        <xdr:cNvPr id="11" name="AutoShape 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361950</xdr:colOff>
      <xdr:row>40</xdr:row>
      <xdr:rowOff>0</xdr:rowOff>
    </xdr:to>
    <xdr:sp macro="" textlink="">
      <xdr:nvSpPr>
        <xdr:cNvPr id="12" name="AutoShape 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361950</xdr:colOff>
      <xdr:row>40</xdr:row>
      <xdr:rowOff>0</xdr:rowOff>
    </xdr:to>
    <xdr:sp macro="" textlink="">
      <xdr:nvSpPr>
        <xdr:cNvPr id="13"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4.bin"/><Relationship Id="rId5" Type="http://schemas.openxmlformats.org/officeDocument/2006/relationships/comments" Target="../comments1.xml"/><Relationship Id="rId4" Type="http://schemas.openxmlformats.org/officeDocument/2006/relationships/vmlDrawing" Target="../drawings/vmlDrawing5.v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pageSetUpPr fitToPage="1"/>
  </sheetPr>
  <dimension ref="A1:U48"/>
  <sheetViews>
    <sheetView showGridLines="0" tabSelected="1" view="pageBreakPreview" topLeftCell="A19" zoomScale="90" zoomScaleNormal="100" zoomScaleSheetLayoutView="90" zoomScalePageLayoutView="80" workbookViewId="0">
      <selection activeCell="E17" sqref="E17:F17"/>
    </sheetView>
  </sheetViews>
  <sheetFormatPr defaultRowHeight="12.75" x14ac:dyDescent="0.2"/>
  <cols>
    <col min="1" max="1" width="42.42578125" style="4" customWidth="1"/>
    <col min="2" max="4" width="14.7109375" style="4" customWidth="1"/>
    <col min="5" max="5" width="10.28515625" style="4" customWidth="1"/>
    <col min="6" max="6" width="8.7109375" style="4" customWidth="1"/>
    <col min="7" max="7" width="10.28515625" style="4" customWidth="1"/>
    <col min="8" max="8" width="8.7109375" style="4" customWidth="1"/>
    <col min="9" max="18" width="14.7109375" style="4" customWidth="1"/>
    <col min="19" max="19" width="9.140625" style="4" customWidth="1"/>
    <col min="20" max="20" width="11.5703125" style="4"/>
    <col min="21" max="21" width="17" style="4" customWidth="1"/>
    <col min="22" max="1022" width="9.140625" style="4" customWidth="1"/>
    <col min="1023" max="16384" width="9.140625" style="4"/>
  </cols>
  <sheetData>
    <row r="1" spans="1:21" s="6" customFormat="1" ht="20.25" customHeight="1" x14ac:dyDescent="0.3">
      <c r="A1" s="277" t="s">
        <v>15</v>
      </c>
      <c r="B1" s="277"/>
      <c r="C1" s="277"/>
      <c r="D1" s="277"/>
      <c r="E1" s="277"/>
      <c r="F1" s="277"/>
      <c r="G1" s="277"/>
      <c r="H1" s="277"/>
      <c r="I1" s="277"/>
      <c r="J1" s="277"/>
      <c r="K1" s="277"/>
      <c r="L1" s="277"/>
      <c r="M1" s="277"/>
      <c r="N1" s="277"/>
      <c r="O1" s="277"/>
      <c r="P1" s="277"/>
      <c r="Q1" s="277"/>
      <c r="R1" s="277"/>
      <c r="S1" s="5"/>
      <c r="T1" s="5"/>
      <c r="U1" s="5"/>
    </row>
    <row r="2" spans="1:21" s="8" customFormat="1" ht="15" customHeight="1" x14ac:dyDescent="0.3">
      <c r="A2" s="278" t="s">
        <v>0</v>
      </c>
      <c r="B2" s="278"/>
      <c r="C2" s="278"/>
      <c r="D2" s="278"/>
      <c r="E2" s="278"/>
      <c r="F2" s="278"/>
      <c r="G2" s="278"/>
      <c r="H2" s="278"/>
      <c r="I2" s="278"/>
      <c r="J2" s="278"/>
      <c r="K2" s="278"/>
      <c r="L2" s="278"/>
      <c r="M2" s="278"/>
      <c r="N2" s="278"/>
      <c r="O2" s="278"/>
      <c r="P2" s="278"/>
      <c r="Q2" s="278"/>
      <c r="R2" s="278"/>
      <c r="S2" s="7"/>
      <c r="T2" s="7"/>
      <c r="U2" s="7"/>
    </row>
    <row r="3" spans="1:21" s="6" customFormat="1" ht="15" customHeight="1" x14ac:dyDescent="0.25">
      <c r="A3" s="279" t="s">
        <v>16</v>
      </c>
      <c r="B3" s="279"/>
      <c r="C3" s="279"/>
      <c r="D3" s="279"/>
      <c r="E3" s="279"/>
      <c r="F3" s="279"/>
      <c r="G3" s="279"/>
      <c r="H3" s="279"/>
      <c r="I3" s="279"/>
      <c r="J3" s="279"/>
      <c r="K3" s="279"/>
      <c r="L3" s="279"/>
      <c r="M3" s="279"/>
      <c r="N3" s="279"/>
      <c r="O3" s="279"/>
      <c r="P3" s="279"/>
      <c r="Q3" s="279"/>
      <c r="R3" s="279"/>
      <c r="S3" s="265"/>
      <c r="T3" s="265"/>
      <c r="U3" s="265"/>
    </row>
    <row r="4" spans="1:21" s="6" customFormat="1" ht="15" customHeight="1" x14ac:dyDescent="0.25">
      <c r="A4" s="208"/>
      <c r="B4" s="208"/>
      <c r="C4" s="208"/>
      <c r="D4" s="208"/>
      <c r="E4" s="208"/>
      <c r="F4" s="208"/>
      <c r="G4" s="208"/>
      <c r="H4" s="208"/>
      <c r="I4" s="208"/>
      <c r="J4" s="208"/>
      <c r="K4" s="208"/>
      <c r="L4" s="208"/>
      <c r="M4" s="208"/>
      <c r="N4" s="208"/>
      <c r="O4" s="208"/>
      <c r="P4" s="208"/>
      <c r="Q4" s="208"/>
      <c r="R4" s="208"/>
      <c r="S4" s="265"/>
      <c r="T4" s="265"/>
      <c r="U4" s="265"/>
    </row>
    <row r="5" spans="1:21" s="6" customFormat="1" ht="15" customHeight="1" x14ac:dyDescent="0.25">
      <c r="A5" s="9"/>
      <c r="B5" s="9"/>
      <c r="C5" s="9"/>
      <c r="D5" s="9"/>
      <c r="E5" s="9"/>
      <c r="F5" s="9"/>
      <c r="G5" s="9"/>
      <c r="H5" s="9"/>
      <c r="I5" s="9"/>
      <c r="J5" s="9"/>
      <c r="K5" s="9"/>
      <c r="L5" s="9"/>
      <c r="M5" s="9"/>
      <c r="N5" s="9"/>
      <c r="O5" s="9"/>
      <c r="P5" s="9"/>
      <c r="Q5" s="1" t="s">
        <v>1</v>
      </c>
      <c r="R5" s="10" t="s">
        <v>2</v>
      </c>
      <c r="S5" s="265"/>
      <c r="T5" s="265"/>
      <c r="U5" s="265"/>
    </row>
    <row r="6" spans="1:21" s="6" customFormat="1" ht="15" customHeight="1" x14ac:dyDescent="0.25">
      <c r="A6" s="9"/>
      <c r="B6" s="9"/>
      <c r="C6" s="9"/>
      <c r="D6" s="9"/>
      <c r="E6" s="9"/>
      <c r="F6" s="9"/>
      <c r="G6" s="9"/>
      <c r="H6" s="9"/>
      <c r="I6" s="9"/>
      <c r="J6" s="9"/>
      <c r="K6" s="9"/>
      <c r="L6" s="9"/>
      <c r="M6" s="9"/>
      <c r="N6" s="9"/>
      <c r="O6" s="9"/>
      <c r="P6" s="9"/>
      <c r="Q6" s="1" t="s">
        <v>3</v>
      </c>
      <c r="R6" s="210" t="s">
        <v>244</v>
      </c>
      <c r="S6" s="265"/>
      <c r="T6" s="265"/>
      <c r="U6" s="265"/>
    </row>
    <row r="7" spans="1:21" s="6" customFormat="1" ht="15" customHeight="1" x14ac:dyDescent="0.25">
      <c r="A7" s="11"/>
      <c r="B7" s="11"/>
      <c r="C7" s="11"/>
      <c r="D7" s="11"/>
      <c r="E7" s="12"/>
      <c r="F7" s="12"/>
      <c r="G7" s="12"/>
      <c r="H7" s="12"/>
      <c r="I7" s="12"/>
      <c r="J7" s="12"/>
      <c r="K7" s="12"/>
      <c r="L7" s="12"/>
      <c r="M7" s="12"/>
      <c r="N7" s="12"/>
      <c r="O7" s="12"/>
      <c r="P7" s="12"/>
      <c r="Q7" s="1" t="s">
        <v>4</v>
      </c>
      <c r="R7" s="211">
        <v>0</v>
      </c>
    </row>
    <row r="8" spans="1:21" s="6" customFormat="1" ht="15" customHeight="1" thickBot="1" x14ac:dyDescent="0.3">
      <c r="A8" s="11"/>
      <c r="B8" s="11"/>
      <c r="C8" s="11"/>
      <c r="D8" s="11"/>
      <c r="E8" s="12"/>
      <c r="F8" s="12"/>
      <c r="G8" s="12"/>
      <c r="H8" s="12"/>
      <c r="I8" s="12"/>
      <c r="J8" s="12"/>
      <c r="K8" s="12"/>
      <c r="L8" s="12"/>
      <c r="M8" s="12"/>
      <c r="N8" s="12"/>
      <c r="O8" s="12"/>
      <c r="P8" s="12"/>
      <c r="R8" s="12"/>
    </row>
    <row r="9" spans="1:21" s="6" customFormat="1" ht="15" customHeight="1" x14ac:dyDescent="0.25">
      <c r="A9" s="280" t="s">
        <v>5</v>
      </c>
      <c r="B9" s="281"/>
      <c r="C9" s="281"/>
      <c r="D9" s="281"/>
      <c r="E9" s="281"/>
      <c r="F9" s="281"/>
      <c r="G9" s="281"/>
      <c r="H9" s="281"/>
      <c r="I9" s="281"/>
      <c r="J9" s="281"/>
      <c r="K9" s="281"/>
      <c r="L9" s="281"/>
      <c r="M9" s="281"/>
      <c r="N9" s="281"/>
      <c r="O9" s="281"/>
      <c r="P9" s="281"/>
      <c r="Q9" s="281"/>
      <c r="R9" s="282"/>
    </row>
    <row r="10" spans="1:21" s="6" customFormat="1" ht="15" customHeight="1" thickBot="1" x14ac:dyDescent="0.3">
      <c r="A10" s="294" t="s">
        <v>6</v>
      </c>
      <c r="B10" s="295"/>
      <c r="C10" s="295"/>
      <c r="D10" s="295"/>
      <c r="E10" s="295"/>
      <c r="F10" s="295"/>
      <c r="G10" s="295"/>
      <c r="H10" s="295"/>
      <c r="I10" s="295"/>
      <c r="J10" s="295"/>
      <c r="K10" s="295"/>
      <c r="L10" s="295"/>
      <c r="M10" s="295"/>
      <c r="N10" s="295"/>
      <c r="O10" s="295"/>
      <c r="P10" s="295"/>
      <c r="Q10" s="295"/>
      <c r="R10" s="296"/>
    </row>
    <row r="11" spans="1:21" s="6" customFormat="1" ht="15" customHeight="1" x14ac:dyDescent="0.25">
      <c r="A11" s="35"/>
      <c r="B11" s="34"/>
      <c r="C11" s="34"/>
      <c r="D11" s="35"/>
      <c r="E11" s="34"/>
      <c r="F11" s="34"/>
      <c r="G11" s="34"/>
      <c r="H11" s="34"/>
      <c r="I11" s="34"/>
      <c r="J11" s="34"/>
      <c r="K11" s="34"/>
      <c r="L11" s="34"/>
      <c r="M11" s="34"/>
      <c r="N11" s="34"/>
      <c r="O11" s="35"/>
      <c r="P11" s="35"/>
      <c r="Q11" s="35"/>
      <c r="R11" s="35"/>
    </row>
    <row r="12" spans="1:21" s="13" customFormat="1" ht="15" customHeight="1" x14ac:dyDescent="0.25">
      <c r="A12" s="283" t="s">
        <v>17</v>
      </c>
      <c r="B12" s="287" t="s">
        <v>18</v>
      </c>
      <c r="C12" s="287"/>
      <c r="D12" s="283" t="s">
        <v>19</v>
      </c>
      <c r="E12" s="287" t="s">
        <v>20</v>
      </c>
      <c r="F12" s="287"/>
      <c r="G12" s="287"/>
      <c r="H12" s="287"/>
      <c r="I12" s="287"/>
      <c r="J12" s="287"/>
      <c r="K12" s="287"/>
      <c r="L12" s="287"/>
      <c r="M12" s="287"/>
      <c r="N12" s="287"/>
      <c r="O12" s="283" t="s">
        <v>21</v>
      </c>
      <c r="P12" s="283" t="s">
        <v>22</v>
      </c>
      <c r="Q12" s="283" t="s">
        <v>23</v>
      </c>
      <c r="R12" s="283" t="s">
        <v>24</v>
      </c>
    </row>
    <row r="13" spans="1:21" s="14" customFormat="1" ht="55.7" customHeight="1" x14ac:dyDescent="0.25">
      <c r="A13" s="283"/>
      <c r="B13" s="284" t="s">
        <v>25</v>
      </c>
      <c r="C13" s="284" t="s">
        <v>26</v>
      </c>
      <c r="D13" s="283"/>
      <c r="E13" s="285" t="s">
        <v>27</v>
      </c>
      <c r="F13" s="285"/>
      <c r="G13" s="284" t="s">
        <v>28</v>
      </c>
      <c r="H13" s="284"/>
      <c r="I13" s="290" t="s">
        <v>29</v>
      </c>
      <c r="J13" s="290" t="s">
        <v>30</v>
      </c>
      <c r="K13" s="290" t="s">
        <v>31</v>
      </c>
      <c r="L13" s="286" t="s">
        <v>32</v>
      </c>
      <c r="M13" s="284" t="s">
        <v>33</v>
      </c>
      <c r="N13" s="284" t="s">
        <v>34</v>
      </c>
      <c r="O13" s="283"/>
      <c r="P13" s="283"/>
      <c r="Q13" s="283"/>
      <c r="R13" s="283"/>
    </row>
    <row r="14" spans="1:21" s="15" customFormat="1" ht="25.5" customHeight="1" x14ac:dyDescent="0.25">
      <c r="A14" s="283"/>
      <c r="B14" s="284"/>
      <c r="C14" s="284"/>
      <c r="D14" s="283"/>
      <c r="E14" s="264" t="s">
        <v>35</v>
      </c>
      <c r="F14" s="264" t="s">
        <v>36</v>
      </c>
      <c r="G14" s="264" t="s">
        <v>37</v>
      </c>
      <c r="H14" s="264" t="s">
        <v>38</v>
      </c>
      <c r="I14" s="290"/>
      <c r="J14" s="290"/>
      <c r="K14" s="290"/>
      <c r="L14" s="286"/>
      <c r="M14" s="284"/>
      <c r="N14" s="284"/>
      <c r="O14" s="283"/>
      <c r="P14" s="283"/>
      <c r="Q14" s="283"/>
      <c r="R14" s="283"/>
    </row>
    <row r="15" spans="1:21" s="15" customFormat="1" ht="15" customHeight="1" x14ac:dyDescent="0.25">
      <c r="A15" s="283"/>
      <c r="B15" s="284"/>
      <c r="C15" s="16">
        <f>'Encargos Sociais'!F68/100</f>
        <v>0.72780319999999987</v>
      </c>
      <c r="D15" s="283"/>
      <c r="E15" s="212">
        <v>23</v>
      </c>
      <c r="F15" s="213">
        <v>0.2</v>
      </c>
      <c r="G15" s="212">
        <v>4.5</v>
      </c>
      <c r="H15" s="214">
        <v>2</v>
      </c>
      <c r="I15" s="215">
        <v>18</v>
      </c>
      <c r="J15" s="215">
        <v>15</v>
      </c>
      <c r="K15" s="216">
        <v>15</v>
      </c>
      <c r="L15" s="215">
        <v>21</v>
      </c>
      <c r="M15" s="284"/>
      <c r="N15" s="284"/>
      <c r="O15" s="283"/>
      <c r="P15" s="283"/>
      <c r="Q15" s="17">
        <f>CITL!$B$18</f>
        <v>0.30445795339412363</v>
      </c>
      <c r="R15" s="283"/>
    </row>
    <row r="16" spans="1:21" ht="25.5" customHeight="1" x14ac:dyDescent="0.2">
      <c r="A16" s="18" t="s">
        <v>7</v>
      </c>
      <c r="B16" s="19"/>
      <c r="C16" s="19"/>
      <c r="D16" s="19"/>
      <c r="E16" s="19"/>
      <c r="F16" s="19"/>
      <c r="G16" s="19"/>
      <c r="H16" s="19"/>
      <c r="I16" s="19"/>
      <c r="J16" s="19"/>
      <c r="K16" s="19"/>
      <c r="L16" s="19"/>
      <c r="M16" s="19"/>
      <c r="N16" s="19"/>
      <c r="O16" s="19"/>
      <c r="P16" s="19"/>
      <c r="Q16" s="19"/>
      <c r="R16" s="19"/>
    </row>
    <row r="17" spans="1:18" s="15" customFormat="1" ht="25.5" customHeight="1" thickTop="1" x14ac:dyDescent="0.25">
      <c r="A17" s="20" t="s">
        <v>10</v>
      </c>
      <c r="B17" s="217">
        <f>ROUND((1270.97/44*32.5),2)</f>
        <v>938.78</v>
      </c>
      <c r="C17" s="21">
        <f>ROUND((IF(B17&lt;&gt;0,(B17)*$C$15,0)),2)</f>
        <v>683.25</v>
      </c>
      <c r="D17" s="21">
        <f>SUM(B17:C17)</f>
        <v>1622.03</v>
      </c>
      <c r="E17" s="288">
        <f>ROUND((IF((B17&gt;0),($E$15*21)-(($E$15*21)*$F$15),0)),2)</f>
        <v>386.4</v>
      </c>
      <c r="F17" s="288"/>
      <c r="G17" s="303">
        <f>IF($B$17&gt;0,MAX(0,($G$15*(21*$H$15))-(6%*$B$17),0),0)</f>
        <v>132.67320000000001</v>
      </c>
      <c r="H17" s="303"/>
      <c r="I17" s="21">
        <f>IF(B17&lt;&gt;0,$I$15,0)</f>
        <v>18</v>
      </c>
      <c r="J17" s="21">
        <f>IF(B17&lt;&gt;0,$J$15,0)</f>
        <v>15</v>
      </c>
      <c r="K17" s="21">
        <f>IF(B17&lt;&gt;0,$K$15,0)</f>
        <v>15</v>
      </c>
      <c r="L17" s="21">
        <f>$L$15</f>
        <v>21</v>
      </c>
      <c r="M17" s="21">
        <f>Insumos!E16</f>
        <v>74.37</v>
      </c>
      <c r="N17" s="21">
        <f>Insumos!E24</f>
        <v>106.77</v>
      </c>
      <c r="O17" s="21">
        <f>SUM(E17:N17)</f>
        <v>769.21320000000003</v>
      </c>
      <c r="P17" s="21">
        <f>D17+O17</f>
        <v>2391.2431999999999</v>
      </c>
      <c r="Q17" s="21">
        <f>ROUND((P17*$Q$15),2)</f>
        <v>728.03</v>
      </c>
      <c r="R17" s="23">
        <f>ROUND((P17+Q17),2)</f>
        <v>3119.27</v>
      </c>
    </row>
    <row r="18" spans="1:18" s="26" customFormat="1" ht="25.5" customHeight="1" x14ac:dyDescent="0.25">
      <c r="A18" s="3" t="s">
        <v>11</v>
      </c>
      <c r="B18" s="217">
        <f>ROUND((1186.15/44)*35,2)</f>
        <v>943.53</v>
      </c>
      <c r="C18" s="24">
        <f>ROUND((IF(B18&lt;&gt;0,(B18)*$C$15,0)),2)</f>
        <v>686.7</v>
      </c>
      <c r="D18" s="24">
        <f>SUM(B18:C18)</f>
        <v>1630.23</v>
      </c>
      <c r="E18" s="288">
        <f t="shared" ref="E18:E19" si="0">ROUND((IF((B18&gt;0),($E$15*21)-(($E$15*21)*$F$15),0)),2)</f>
        <v>386.4</v>
      </c>
      <c r="F18" s="288"/>
      <c r="G18" s="289">
        <f>IF($B$18&gt;0,MAX(0,($G$15*(21*$H$15))-(6%*$B$18),0),0)</f>
        <v>132.38820000000001</v>
      </c>
      <c r="H18" s="289"/>
      <c r="I18" s="24">
        <f>IF(B18&lt;&gt;0,$I$15,0)</f>
        <v>18</v>
      </c>
      <c r="J18" s="24">
        <f>IF(B18&lt;&gt;0,$J$15,0)</f>
        <v>15</v>
      </c>
      <c r="K18" s="24">
        <f>IF(B18&lt;&gt;0,$K$15,0)</f>
        <v>15</v>
      </c>
      <c r="L18" s="24">
        <f>$L$15</f>
        <v>21</v>
      </c>
      <c r="M18" s="25"/>
      <c r="N18" s="24">
        <f>Insumos!E32</f>
        <v>138.10999999999999</v>
      </c>
      <c r="O18" s="24">
        <f>SUM(E18:N18)</f>
        <v>725.89819999999997</v>
      </c>
      <c r="P18" s="24">
        <f>D18+O18</f>
        <v>2356.1282000000001</v>
      </c>
      <c r="Q18" s="24">
        <f>ROUND((P18*$Q$15),2)</f>
        <v>717.34</v>
      </c>
      <c r="R18" s="23">
        <f>ROUND((P18+Q18),2)</f>
        <v>3073.47</v>
      </c>
    </row>
    <row r="19" spans="1:18" s="26" customFormat="1" ht="25.5" customHeight="1" x14ac:dyDescent="0.25">
      <c r="A19" s="3" t="s">
        <v>39</v>
      </c>
      <c r="B19" s="217">
        <f>ROUND((1510.85/44*32.5),2)</f>
        <v>1115.97</v>
      </c>
      <c r="C19" s="24">
        <f>ROUND((IF(B19&lt;&gt;0,(B19)*$C$15,0)),2)</f>
        <v>812.21</v>
      </c>
      <c r="D19" s="24">
        <f>SUM(B19:C19)</f>
        <v>1928.18</v>
      </c>
      <c r="E19" s="288">
        <f t="shared" si="0"/>
        <v>386.4</v>
      </c>
      <c r="F19" s="288"/>
      <c r="G19" s="289">
        <f>IF($B$19&gt;0,MAX(0,($G$15*(21*$H$15))-(6%*$B$19),0),0)</f>
        <v>122.04179999999999</v>
      </c>
      <c r="H19" s="289"/>
      <c r="I19" s="24">
        <f>IF(B19&lt;&gt;0,$I$15,0)</f>
        <v>18</v>
      </c>
      <c r="J19" s="24">
        <f>IF(B19&lt;&gt;0,$J$15,0)</f>
        <v>15</v>
      </c>
      <c r="K19" s="24">
        <f>IF(B19&lt;&gt;0,$K$15,0)</f>
        <v>15</v>
      </c>
      <c r="L19" s="24">
        <f>$L$15</f>
        <v>21</v>
      </c>
      <c r="M19" s="25"/>
      <c r="N19" s="24">
        <f>Insumos!E40</f>
        <v>144.4</v>
      </c>
      <c r="O19" s="24">
        <f>SUM(E19:N19)</f>
        <v>721.84179999999992</v>
      </c>
      <c r="P19" s="24">
        <f>D19+O19</f>
        <v>2650.0218</v>
      </c>
      <c r="Q19" s="24">
        <f>ROUND((P19*$Q$15),2)</f>
        <v>806.82</v>
      </c>
      <c r="R19" s="23">
        <f>ROUND((P19+Q19),2)</f>
        <v>3456.84</v>
      </c>
    </row>
    <row r="20" spans="1:18" ht="25.5" customHeight="1" thickBot="1" x14ac:dyDescent="0.25">
      <c r="A20" s="209" t="s">
        <v>12</v>
      </c>
      <c r="B20" s="209"/>
      <c r="C20" s="209"/>
      <c r="D20" s="209"/>
      <c r="E20" s="209"/>
      <c r="F20" s="209"/>
      <c r="G20" s="209"/>
      <c r="H20" s="209"/>
      <c r="I20" s="209"/>
      <c r="J20" s="209"/>
      <c r="K20" s="209"/>
      <c r="L20" s="209"/>
      <c r="M20" s="209"/>
      <c r="N20" s="209"/>
      <c r="O20" s="209"/>
      <c r="P20" s="209"/>
      <c r="Q20" s="209"/>
      <c r="R20" s="209"/>
    </row>
    <row r="21" spans="1:18" ht="25.5" customHeight="1" x14ac:dyDescent="0.2">
      <c r="A21" s="20" t="s">
        <v>40</v>
      </c>
      <c r="B21" s="195">
        <f>B17</f>
        <v>938.78</v>
      </c>
      <c r="C21" s="21">
        <f>ROUND((IF(B21&lt;&gt;0,(B21)*$C$15,0)),2)</f>
        <v>683.25</v>
      </c>
      <c r="D21" s="21">
        <f>SUM(B21:C21)</f>
        <v>1622.03</v>
      </c>
      <c r="E21" s="288">
        <f>ROUND((IF((B21&gt;0),($E$15*21)-(($E$15*21)*$F$15),0)),2)</f>
        <v>386.4</v>
      </c>
      <c r="F21" s="288"/>
      <c r="G21" s="301">
        <f>IF($B$21&gt;0,MAX(0,($G$15*(21*$H$15))-(6%*$B$21),0),0)</f>
        <v>132.67320000000001</v>
      </c>
      <c r="H21" s="301"/>
      <c r="I21" s="263">
        <f>IF(B21&lt;&gt;0,$I$15,0)</f>
        <v>18</v>
      </c>
      <c r="J21" s="263">
        <f>IF(B21&lt;&gt;0,$J$15,0)</f>
        <v>15</v>
      </c>
      <c r="K21" s="263">
        <f>IF(B21&lt;&gt;0,$K$15,0)</f>
        <v>15</v>
      </c>
      <c r="L21" s="263">
        <f>$L$15</f>
        <v>21</v>
      </c>
      <c r="M21" s="177"/>
      <c r="N21" s="263">
        <f>Insumos!E49</f>
        <v>213.54000000000002</v>
      </c>
      <c r="O21" s="263">
        <f>SUM(E21:N21)</f>
        <v>801.61320000000001</v>
      </c>
      <c r="P21" s="188">
        <f>D21+O21</f>
        <v>2423.6432</v>
      </c>
      <c r="Q21" s="22">
        <f>ROUND((P21*$Q$15),2)</f>
        <v>737.9</v>
      </c>
      <c r="R21" s="23">
        <f>ROUND((P21+Q21),2)</f>
        <v>3161.54</v>
      </c>
    </row>
    <row r="22" spans="1:18" ht="25.5" customHeight="1" x14ac:dyDescent="0.2">
      <c r="A22" s="209" t="s">
        <v>13</v>
      </c>
      <c r="B22" s="209"/>
      <c r="C22" s="209"/>
      <c r="D22" s="209"/>
      <c r="E22" s="209"/>
      <c r="F22" s="209"/>
      <c r="G22" s="209"/>
      <c r="H22" s="209"/>
      <c r="I22" s="209"/>
      <c r="J22" s="209"/>
      <c r="K22" s="209"/>
      <c r="L22" s="209"/>
      <c r="M22" s="209"/>
      <c r="N22" s="209"/>
      <c r="O22" s="209"/>
      <c r="P22" s="209"/>
      <c r="Q22" s="209"/>
      <c r="R22" s="209"/>
    </row>
    <row r="23" spans="1:18" ht="25.5" customHeight="1" x14ac:dyDescent="0.2">
      <c r="A23" s="20" t="s">
        <v>40</v>
      </c>
      <c r="B23" s="195">
        <f>B17</f>
        <v>938.78</v>
      </c>
      <c r="C23" s="21">
        <f>ROUND((IF(B23&lt;&gt;0,(B23)*$C$15,0)),2)</f>
        <v>683.25</v>
      </c>
      <c r="D23" s="21">
        <f>SUM(B23:C23)</f>
        <v>1622.03</v>
      </c>
      <c r="E23" s="288">
        <f>ROUND((IF((B23&gt;0),($E$15*21)-(($E$15*21)*$F$15),0)),2)</f>
        <v>386.4</v>
      </c>
      <c r="F23" s="288"/>
      <c r="G23" s="301">
        <f>IF($B$21&gt;0,MAX(0,($G$15*(21*$H$15))-(6%*$B$21),0),0)</f>
        <v>132.67320000000001</v>
      </c>
      <c r="H23" s="301"/>
      <c r="I23" s="263">
        <f>IF(B23&lt;&gt;0,$I$15,0)</f>
        <v>18</v>
      </c>
      <c r="J23" s="263">
        <f>IF(B23&lt;&gt;0,$J$15,0)</f>
        <v>15</v>
      </c>
      <c r="K23" s="263">
        <f>IF(B23&lt;&gt;0,$K$15,0)</f>
        <v>15</v>
      </c>
      <c r="L23" s="263">
        <f>$L$15</f>
        <v>21</v>
      </c>
      <c r="M23" s="177"/>
      <c r="N23" s="177"/>
      <c r="O23" s="263">
        <f>SUM(E23:N23)</f>
        <v>588.07320000000004</v>
      </c>
      <c r="P23" s="188">
        <f>D23+O23</f>
        <v>2210.1032</v>
      </c>
      <c r="Q23" s="22">
        <f>ROUND((P23*$Q$15),2)</f>
        <v>672.88</v>
      </c>
      <c r="R23" s="23">
        <f>ROUND((P23+Q23),2)</f>
        <v>2882.98</v>
      </c>
    </row>
    <row r="24" spans="1:18" ht="30" customHeight="1" x14ac:dyDescent="0.2"/>
    <row r="25" spans="1:18" ht="15" customHeight="1" x14ac:dyDescent="0.2">
      <c r="L25" s="27" t="s">
        <v>41</v>
      </c>
      <c r="M25" s="302" t="s">
        <v>42</v>
      </c>
      <c r="N25" s="302"/>
      <c r="O25" s="302"/>
      <c r="P25" s="302"/>
      <c r="Q25" s="302"/>
      <c r="R25" s="302"/>
    </row>
    <row r="26" spans="1:18" ht="15" customHeight="1" x14ac:dyDescent="0.2">
      <c r="L26" s="27" t="s">
        <v>43</v>
      </c>
      <c r="M26" s="302" t="s">
        <v>44</v>
      </c>
      <c r="N26" s="302"/>
      <c r="O26" s="302"/>
      <c r="P26" s="302"/>
      <c r="Q26" s="302"/>
      <c r="R26" s="302"/>
    </row>
    <row r="27" spans="1:18" ht="30" customHeight="1" thickBot="1" x14ac:dyDescent="0.25">
      <c r="A27" s="292" t="s">
        <v>246</v>
      </c>
      <c r="B27" s="292"/>
      <c r="C27" s="292"/>
      <c r="D27" s="292"/>
      <c r="E27" s="292"/>
      <c r="F27" s="292"/>
      <c r="G27" s="292"/>
      <c r="H27" s="292"/>
      <c r="I27" s="292"/>
      <c r="J27" s="292"/>
      <c r="K27" s="292"/>
      <c r="L27" s="292"/>
      <c r="M27" s="292"/>
      <c r="N27" s="292"/>
      <c r="O27" s="292"/>
      <c r="P27" s="292"/>
      <c r="Q27" s="292"/>
      <c r="R27" s="292"/>
    </row>
    <row r="28" spans="1:18" ht="30" customHeight="1" thickTop="1" x14ac:dyDescent="0.2">
      <c r="A28" s="219"/>
      <c r="B28" s="219"/>
      <c r="C28" s="219"/>
      <c r="D28" s="219"/>
      <c r="E28" s="219"/>
      <c r="F28" s="219"/>
      <c r="G28" s="219"/>
      <c r="H28" s="219"/>
      <c r="I28" s="219"/>
      <c r="J28" s="219"/>
      <c r="K28" s="219"/>
      <c r="L28" s="219"/>
      <c r="M28" s="219"/>
      <c r="N28" s="219"/>
      <c r="O28" s="219"/>
      <c r="P28" s="219"/>
      <c r="Q28" s="219"/>
      <c r="R28" s="219"/>
    </row>
    <row r="29" spans="1:18" ht="30" customHeight="1" x14ac:dyDescent="0.2">
      <c r="A29" s="219"/>
      <c r="B29" s="222" t="s">
        <v>247</v>
      </c>
      <c r="C29" s="223" t="s">
        <v>248</v>
      </c>
      <c r="D29" s="223" t="s">
        <v>249</v>
      </c>
      <c r="E29" s="297" t="s">
        <v>9</v>
      </c>
      <c r="F29" s="298"/>
      <c r="G29" s="299" t="s">
        <v>250</v>
      </c>
      <c r="H29" s="300"/>
      <c r="I29" s="219"/>
      <c r="J29" s="219"/>
      <c r="K29" s="219"/>
      <c r="L29" s="219"/>
      <c r="M29" s="219"/>
      <c r="N29" s="219"/>
      <c r="O29" s="219"/>
      <c r="P29" s="219"/>
      <c r="Q29" s="219"/>
      <c r="R29" s="219"/>
    </row>
    <row r="30" spans="1:18" ht="24.95" customHeight="1" thickBot="1" x14ac:dyDescent="0.25">
      <c r="A30" s="220" t="s">
        <v>7</v>
      </c>
      <c r="B30" s="221"/>
      <c r="C30" s="221"/>
      <c r="D30" s="221"/>
      <c r="E30" s="221"/>
      <c r="F30" s="221"/>
      <c r="L30" s="27"/>
      <c r="M30" s="218"/>
      <c r="N30" s="218"/>
      <c r="O30" s="218"/>
      <c r="P30" s="218"/>
      <c r="Q30" s="218"/>
      <c r="R30" s="218"/>
    </row>
    <row r="31" spans="1:18" ht="24.95" customHeight="1" thickTop="1" x14ac:dyDescent="0.2">
      <c r="A31" s="20" t="s">
        <v>10</v>
      </c>
      <c r="B31" s="224">
        <f>R17</f>
        <v>3119.27</v>
      </c>
      <c r="C31" s="226">
        <v>8</v>
      </c>
      <c r="D31" s="227">
        <f>B31*C31</f>
        <v>24954.16</v>
      </c>
      <c r="E31" s="304">
        <v>12</v>
      </c>
      <c r="F31" s="305"/>
      <c r="G31" s="306">
        <f>D31*E31</f>
        <v>299449.92</v>
      </c>
      <c r="H31" s="307"/>
      <c r="L31" s="27"/>
      <c r="M31" s="218"/>
      <c r="N31" s="218"/>
      <c r="O31" s="218"/>
      <c r="P31" s="218"/>
      <c r="Q31" s="218"/>
      <c r="R31" s="218"/>
    </row>
    <row r="32" spans="1:18" ht="24.95" customHeight="1" x14ac:dyDescent="0.2">
      <c r="A32" s="3" t="s">
        <v>11</v>
      </c>
      <c r="B32" s="224">
        <f>R18</f>
        <v>3073.47</v>
      </c>
      <c r="C32" s="228">
        <v>4</v>
      </c>
      <c r="D32" s="229">
        <f t="shared" ref="D32:D33" si="1">B32*C32</f>
        <v>12293.88</v>
      </c>
      <c r="E32" s="308">
        <v>12</v>
      </c>
      <c r="F32" s="308"/>
      <c r="G32" s="309">
        <f t="shared" ref="G32:G33" si="2">D32*E32</f>
        <v>147526.56</v>
      </c>
      <c r="H32" s="309"/>
      <c r="L32" s="27"/>
      <c r="M32" s="218"/>
      <c r="N32" s="218"/>
      <c r="O32" s="218"/>
      <c r="P32" s="218"/>
      <c r="Q32" s="218"/>
      <c r="R32" s="218"/>
    </row>
    <row r="33" spans="1:18" ht="24.95" customHeight="1" x14ac:dyDescent="0.2">
      <c r="A33" s="3" t="s">
        <v>39</v>
      </c>
      <c r="B33" s="224">
        <f>R19</f>
        <v>3456.84</v>
      </c>
      <c r="C33" s="228">
        <v>1</v>
      </c>
      <c r="D33" s="229">
        <f t="shared" si="1"/>
        <v>3456.84</v>
      </c>
      <c r="E33" s="308">
        <v>12</v>
      </c>
      <c r="F33" s="308"/>
      <c r="G33" s="310">
        <f t="shared" si="2"/>
        <v>41482.080000000002</v>
      </c>
      <c r="H33" s="310"/>
      <c r="L33" s="27"/>
      <c r="M33" s="218"/>
      <c r="N33" s="218"/>
      <c r="O33" s="218"/>
      <c r="P33" s="218"/>
      <c r="Q33" s="218"/>
      <c r="R33" s="218"/>
    </row>
    <row r="34" spans="1:18" ht="24.95" customHeight="1" x14ac:dyDescent="0.2">
      <c r="A34" s="230"/>
      <c r="B34" s="231"/>
      <c r="C34" s="232"/>
      <c r="D34" s="261">
        <f>SUM(D31:D33)</f>
        <v>40704.880000000005</v>
      </c>
      <c r="E34" s="233"/>
      <c r="F34" s="233"/>
      <c r="G34" s="312"/>
      <c r="H34" s="312"/>
      <c r="L34" s="27"/>
      <c r="M34" s="218"/>
      <c r="N34" s="218"/>
      <c r="O34" s="218"/>
      <c r="P34" s="218"/>
      <c r="Q34" s="218"/>
      <c r="R34" s="218"/>
    </row>
    <row r="35" spans="1:18" ht="24.95" customHeight="1" thickBot="1" x14ac:dyDescent="0.25">
      <c r="A35" s="209" t="s">
        <v>12</v>
      </c>
      <c r="B35" s="209"/>
      <c r="C35" s="209"/>
      <c r="D35" s="209"/>
      <c r="E35" s="209"/>
      <c r="F35" s="209"/>
      <c r="L35" s="27"/>
      <c r="M35" s="218"/>
      <c r="N35" s="218"/>
      <c r="O35" s="218"/>
      <c r="P35" s="218"/>
      <c r="Q35" s="218"/>
      <c r="R35" s="218"/>
    </row>
    <row r="36" spans="1:18" ht="24.95" customHeight="1" thickTop="1" x14ac:dyDescent="0.2">
      <c r="A36" s="20" t="s">
        <v>40</v>
      </c>
      <c r="B36" s="195">
        <f>R21</f>
        <v>3161.54</v>
      </c>
      <c r="C36" s="225">
        <v>6</v>
      </c>
      <c r="D36" s="36">
        <f>B36*C36</f>
        <v>18969.239999999998</v>
      </c>
      <c r="E36" s="313">
        <v>3</v>
      </c>
      <c r="F36" s="313"/>
      <c r="G36" s="314">
        <f>D36*E36</f>
        <v>56907.719999999994</v>
      </c>
      <c r="H36" s="315"/>
      <c r="L36" s="27"/>
      <c r="M36" s="218"/>
      <c r="N36" s="218"/>
      <c r="O36" s="218"/>
      <c r="P36" s="218"/>
      <c r="Q36" s="218"/>
      <c r="R36" s="218"/>
    </row>
    <row r="37" spans="1:18" ht="24.95" customHeight="1" thickBot="1" x14ac:dyDescent="0.25">
      <c r="A37" s="209" t="s">
        <v>13</v>
      </c>
      <c r="B37" s="209"/>
      <c r="C37" s="209"/>
      <c r="D37" s="209"/>
      <c r="E37" s="209"/>
      <c r="F37" s="209"/>
      <c r="L37" s="27"/>
      <c r="M37" s="218"/>
      <c r="N37" s="218"/>
      <c r="O37" s="218"/>
      <c r="P37" s="218"/>
      <c r="Q37" s="218"/>
      <c r="R37" s="218"/>
    </row>
    <row r="38" spans="1:18" ht="24.95" customHeight="1" thickTop="1" x14ac:dyDescent="0.2">
      <c r="A38" s="20" t="s">
        <v>40</v>
      </c>
      <c r="B38" s="195">
        <f>R23</f>
        <v>2882.98</v>
      </c>
      <c r="C38" s="225">
        <v>6</v>
      </c>
      <c r="D38" s="36">
        <f>B38*C38</f>
        <v>17297.88</v>
      </c>
      <c r="E38" s="313">
        <v>1</v>
      </c>
      <c r="F38" s="313"/>
      <c r="G38" s="314">
        <f>D38*E38</f>
        <v>17297.88</v>
      </c>
      <c r="H38" s="315"/>
      <c r="K38" s="234" t="s">
        <v>14</v>
      </c>
      <c r="L38" s="311">
        <f>G31+G32+G33+G36+G38</f>
        <v>562664.16</v>
      </c>
      <c r="M38" s="311"/>
      <c r="N38" s="218"/>
      <c r="O38" s="218"/>
      <c r="P38" s="218"/>
      <c r="Q38" s="218"/>
      <c r="R38" s="218"/>
    </row>
    <row r="39" spans="1:18" ht="30" customHeight="1" thickBot="1" x14ac:dyDescent="0.25">
      <c r="A39" s="292" t="s">
        <v>245</v>
      </c>
      <c r="B39" s="292"/>
      <c r="C39" s="292"/>
      <c r="D39" s="292"/>
      <c r="E39" s="292"/>
      <c r="F39" s="292"/>
      <c r="G39" s="292"/>
      <c r="H39" s="292"/>
      <c r="I39" s="292"/>
      <c r="J39" s="292"/>
      <c r="K39" s="292"/>
      <c r="L39" s="292"/>
      <c r="M39" s="292"/>
      <c r="N39" s="292"/>
      <c r="O39" s="292"/>
      <c r="P39" s="292"/>
      <c r="Q39" s="292"/>
      <c r="R39" s="292"/>
    </row>
    <row r="40" spans="1:18" ht="13.5" customHeight="1" x14ac:dyDescent="0.2">
      <c r="A40" s="293"/>
      <c r="B40" s="293"/>
      <c r="C40" s="293"/>
      <c r="D40" s="293"/>
      <c r="E40" s="293"/>
      <c r="F40" s="293"/>
      <c r="G40" s="293"/>
      <c r="H40" s="293"/>
      <c r="I40" s="293"/>
      <c r="J40" s="293"/>
      <c r="K40" s="293"/>
      <c r="L40" s="293"/>
      <c r="M40" s="293"/>
      <c r="N40" s="293"/>
      <c r="O40" s="293"/>
      <c r="P40" s="293"/>
      <c r="Q40" s="293"/>
      <c r="R40" s="293"/>
    </row>
    <row r="41" spans="1:18" ht="15" customHeight="1" x14ac:dyDescent="0.2">
      <c r="A41" s="291" t="s">
        <v>45</v>
      </c>
      <c r="B41" s="291"/>
      <c r="C41" s="291"/>
      <c r="D41" s="291"/>
      <c r="E41" s="291"/>
      <c r="F41" s="291"/>
      <c r="G41" s="291"/>
      <c r="H41" s="291"/>
      <c r="I41" s="291"/>
      <c r="J41" s="291"/>
      <c r="K41" s="291"/>
      <c r="L41" s="291"/>
      <c r="M41" s="291"/>
      <c r="N41" s="291"/>
      <c r="O41" s="291"/>
      <c r="P41" s="291"/>
      <c r="Q41" s="291"/>
      <c r="R41" s="291"/>
    </row>
    <row r="42" spans="1:18" s="30" customFormat="1" ht="15" customHeight="1" x14ac:dyDescent="0.2">
      <c r="A42" s="28" t="s">
        <v>46</v>
      </c>
      <c r="B42" s="262"/>
      <c r="C42" s="262"/>
      <c r="D42" s="262"/>
      <c r="E42" s="262"/>
      <c r="F42" s="262"/>
      <c r="G42" s="262"/>
      <c r="H42" s="262"/>
      <c r="I42" s="262"/>
      <c r="J42" s="262"/>
      <c r="K42" s="262"/>
      <c r="L42" s="262"/>
      <c r="M42" s="262"/>
      <c r="N42" s="262"/>
      <c r="O42" s="262"/>
      <c r="P42" s="262"/>
      <c r="Q42" s="29"/>
      <c r="R42" s="29"/>
    </row>
    <row r="43" spans="1:18" s="30" customFormat="1" ht="15" customHeight="1" x14ac:dyDescent="0.2">
      <c r="A43" s="291" t="s">
        <v>243</v>
      </c>
      <c r="B43" s="291"/>
      <c r="C43" s="291"/>
      <c r="D43" s="291"/>
      <c r="E43" s="291"/>
      <c r="F43" s="291"/>
      <c r="G43" s="291"/>
      <c r="H43" s="291"/>
      <c r="I43" s="291"/>
      <c r="J43" s="291"/>
      <c r="K43" s="291"/>
      <c r="L43" s="291"/>
      <c r="M43" s="291"/>
      <c r="N43" s="291"/>
      <c r="O43" s="291"/>
      <c r="P43" s="291"/>
      <c r="Q43" s="29"/>
      <c r="R43" s="29"/>
    </row>
    <row r="44" spans="1:18" s="30" customFormat="1" ht="15" customHeight="1" x14ac:dyDescent="0.2">
      <c r="A44" s="28" t="s">
        <v>47</v>
      </c>
      <c r="B44" s="262"/>
      <c r="C44" s="262"/>
      <c r="D44" s="262"/>
      <c r="E44" s="262"/>
      <c r="F44" s="262"/>
      <c r="G44" s="262"/>
      <c r="H44" s="262"/>
      <c r="I44" s="262"/>
      <c r="J44" s="262"/>
      <c r="K44" s="262"/>
      <c r="L44" s="262"/>
      <c r="M44" s="262"/>
      <c r="N44" s="262"/>
      <c r="O44" s="262"/>
      <c r="P44" s="262"/>
      <c r="Q44" s="29"/>
      <c r="R44" s="29"/>
    </row>
    <row r="45" spans="1:18" s="30" customFormat="1" ht="15" customHeight="1" x14ac:dyDescent="0.2">
      <c r="A45" s="28" t="s">
        <v>48</v>
      </c>
      <c r="B45" s="31"/>
      <c r="C45" s="31"/>
      <c r="D45" s="31"/>
      <c r="E45" s="31"/>
      <c r="F45" s="31"/>
      <c r="G45" s="31"/>
      <c r="H45" s="31"/>
      <c r="I45" s="31"/>
      <c r="J45" s="31"/>
      <c r="K45" s="31"/>
      <c r="L45" s="31"/>
      <c r="M45" s="31"/>
      <c r="N45" s="31"/>
      <c r="O45" s="31"/>
      <c r="P45" s="31"/>
      <c r="Q45" s="32"/>
      <c r="R45" s="32"/>
    </row>
    <row r="46" spans="1:18" s="30" customFormat="1" ht="15" customHeight="1" x14ac:dyDescent="0.2">
      <c r="A46" s="28" t="s">
        <v>49</v>
      </c>
      <c r="B46" s="31"/>
      <c r="C46" s="31"/>
      <c r="D46" s="31"/>
      <c r="E46" s="31"/>
      <c r="F46" s="31"/>
      <c r="G46" s="31"/>
      <c r="H46" s="31"/>
      <c r="I46" s="31"/>
      <c r="J46" s="31"/>
      <c r="K46" s="31"/>
      <c r="L46" s="31"/>
      <c r="M46" s="31"/>
      <c r="N46" s="31"/>
      <c r="O46" s="31"/>
      <c r="P46" s="31"/>
      <c r="Q46" s="32"/>
      <c r="R46" s="32"/>
    </row>
    <row r="47" spans="1:18" ht="15" customHeight="1" x14ac:dyDescent="0.2">
      <c r="A47" s="291" t="s">
        <v>50</v>
      </c>
      <c r="B47" s="291"/>
      <c r="C47" s="291"/>
      <c r="D47" s="291"/>
      <c r="E47" s="291"/>
      <c r="F47" s="291"/>
      <c r="G47" s="291"/>
      <c r="H47" s="291"/>
      <c r="I47" s="291"/>
      <c r="J47" s="291"/>
      <c r="K47" s="291"/>
      <c r="L47" s="291"/>
      <c r="M47" s="291"/>
      <c r="N47" s="291"/>
      <c r="O47" s="291"/>
      <c r="P47" s="291"/>
      <c r="Q47" s="291"/>
      <c r="R47" s="291"/>
    </row>
    <row r="48" spans="1:18" ht="15" customHeight="1" x14ac:dyDescent="0.2">
      <c r="A48" s="291" t="s">
        <v>51</v>
      </c>
      <c r="B48" s="291"/>
      <c r="C48" s="291"/>
      <c r="D48" s="291"/>
      <c r="E48" s="291"/>
      <c r="F48" s="291"/>
      <c r="G48" s="291"/>
      <c r="H48" s="291"/>
      <c r="I48" s="291"/>
      <c r="J48" s="291"/>
      <c r="K48" s="291"/>
      <c r="L48" s="291"/>
      <c r="M48" s="291"/>
      <c r="N48" s="291"/>
      <c r="O48" s="291"/>
      <c r="P48" s="291"/>
      <c r="Q48" s="291"/>
      <c r="R48" s="291"/>
    </row>
  </sheetData>
  <sheetProtection algorithmName="SHA-512" hashValue="mmqMu02SGiO1M4VfO/q4qZGeSJJT3oZqr7izKys3xzJQueps6xjD8jMftfPLcUnl4TeNMestkONYPInfW0UkOw==" saltValue="HnkxfBho7SkSm6Yek6ZFEQ==" spinCount="100000" sheet="1" objects="1" scenarios="1" selectLockedCells="1"/>
  <mergeCells count="56">
    <mergeCell ref="L38:M38"/>
    <mergeCell ref="G34:H34"/>
    <mergeCell ref="E36:F36"/>
    <mergeCell ref="G36:H36"/>
    <mergeCell ref="E38:F38"/>
    <mergeCell ref="G38:H38"/>
    <mergeCell ref="E31:F31"/>
    <mergeCell ref="G31:H31"/>
    <mergeCell ref="E32:F32"/>
    <mergeCell ref="G32:H32"/>
    <mergeCell ref="E33:F33"/>
    <mergeCell ref="G33:H33"/>
    <mergeCell ref="A10:R10"/>
    <mergeCell ref="A27:R27"/>
    <mergeCell ref="E29:F29"/>
    <mergeCell ref="G29:H29"/>
    <mergeCell ref="A47:R47"/>
    <mergeCell ref="E23:F23"/>
    <mergeCell ref="G23:H23"/>
    <mergeCell ref="M25:R25"/>
    <mergeCell ref="M26:R26"/>
    <mergeCell ref="E19:F19"/>
    <mergeCell ref="G19:H19"/>
    <mergeCell ref="E21:F21"/>
    <mergeCell ref="G21:H21"/>
    <mergeCell ref="N13:N15"/>
    <mergeCell ref="E17:F17"/>
    <mergeCell ref="G17:H17"/>
    <mergeCell ref="A48:R48"/>
    <mergeCell ref="A39:R39"/>
    <mergeCell ref="A40:R40"/>
    <mergeCell ref="A41:R41"/>
    <mergeCell ref="A43:P43"/>
    <mergeCell ref="D12:D15"/>
    <mergeCell ref="E12:N12"/>
    <mergeCell ref="E18:F18"/>
    <mergeCell ref="G18:H18"/>
    <mergeCell ref="I13:I14"/>
    <mergeCell ref="J13:J14"/>
    <mergeCell ref="K13:K14"/>
    <mergeCell ref="A1:R1"/>
    <mergeCell ref="A2:R2"/>
    <mergeCell ref="A3:R3"/>
    <mergeCell ref="A9:R9"/>
    <mergeCell ref="O12:O15"/>
    <mergeCell ref="P12:P15"/>
    <mergeCell ref="Q12:Q14"/>
    <mergeCell ref="R12:R15"/>
    <mergeCell ref="B13:B15"/>
    <mergeCell ref="C13:C14"/>
    <mergeCell ref="E13:F13"/>
    <mergeCell ref="G13:H13"/>
    <mergeCell ref="L13:L14"/>
    <mergeCell ref="M13:M15"/>
    <mergeCell ref="A12:A15"/>
    <mergeCell ref="B12:C12"/>
  </mergeCells>
  <printOptions horizontalCentered="1"/>
  <pageMargins left="0.11811023622047245" right="0.11811023622047245" top="0.51" bottom="0.04" header="0.12" footer="0.08"/>
  <pageSetup paperSize="9" scale="54" firstPageNumber="0" orientation="landscape" horizontalDpi="300" verticalDpi="300" r:id="rId1"/>
  <headerFooter>
    <oddHeader>&amp;C&amp;G&amp;R&amp;8&amp;P</oddHeader>
    <oddFooter>&amp;L&amp;8&amp;G
   &amp;"Arial,Negrito"&amp;K08-024SCCAT/CFIC/SECOFC</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sheetPr>
  <dimension ref="A1:AMK70"/>
  <sheetViews>
    <sheetView view="pageBreakPreview" zoomScaleNormal="100" workbookViewId="0">
      <selection sqref="A1:XFD1048576"/>
    </sheetView>
  </sheetViews>
  <sheetFormatPr defaultRowHeight="12.75" x14ac:dyDescent="0.2"/>
  <cols>
    <col min="1" max="6" width="9.7109375" style="33" customWidth="1"/>
    <col min="7" max="8" width="44.7109375" style="33" customWidth="1"/>
    <col min="9" max="1025" width="9.140625" style="33" customWidth="1"/>
  </cols>
  <sheetData>
    <row r="1" spans="1:8" ht="18" x14ac:dyDescent="0.25">
      <c r="A1" s="316" t="str">
        <f>'Carreg, Recep e Enc '!A1:R1</f>
        <v>TRIBUNAL REGIONAL ELEITORAL DO PARANÁ</v>
      </c>
      <c r="B1" s="316"/>
      <c r="C1" s="316"/>
      <c r="D1" s="316"/>
      <c r="E1" s="316"/>
      <c r="F1" s="316"/>
      <c r="G1" s="316"/>
      <c r="H1" s="316"/>
    </row>
    <row r="2" spans="1:8" x14ac:dyDescent="0.2">
      <c r="A2" s="317" t="str">
        <f>'Carreg, Recep e Enc '!A2:R2</f>
        <v>Planilha de Custos e Formação de Preços - Estimativa TRE-PR</v>
      </c>
      <c r="B2" s="317"/>
      <c r="C2" s="317"/>
      <c r="D2" s="317"/>
      <c r="E2" s="317"/>
      <c r="F2" s="317"/>
      <c r="G2" s="317"/>
      <c r="H2" s="317"/>
    </row>
    <row r="3" spans="1:8" x14ac:dyDescent="0.2">
      <c r="A3" s="318" t="str">
        <f>'Carreg, Recep e Enc '!A3:R3</f>
        <v>Serviços de Carregador, Recepcionista e Encarregado</v>
      </c>
      <c r="B3" s="318"/>
      <c r="C3" s="318"/>
      <c r="D3" s="318"/>
      <c r="E3" s="318"/>
      <c r="F3" s="318"/>
      <c r="G3" s="318"/>
      <c r="H3" s="318"/>
    </row>
    <row r="4" spans="1:8" x14ac:dyDescent="0.2">
      <c r="A4" s="42"/>
      <c r="B4" s="42"/>
      <c r="C4" s="42"/>
      <c r="D4" s="42"/>
      <c r="E4" s="42"/>
      <c r="F4" s="43"/>
      <c r="G4" s="44"/>
      <c r="H4" s="44"/>
    </row>
    <row r="5" spans="1:8" x14ac:dyDescent="0.2">
      <c r="A5" s="319" t="str">
        <f>'Carreg, Recep e Enc '!A9:R9</f>
        <v>Empresa</v>
      </c>
      <c r="B5" s="319"/>
      <c r="C5" s="319"/>
      <c r="D5" s="319"/>
      <c r="E5" s="319"/>
      <c r="F5" s="319"/>
      <c r="G5" s="319"/>
      <c r="H5" s="319"/>
    </row>
    <row r="6" spans="1:8" x14ac:dyDescent="0.2">
      <c r="A6" s="320" t="str">
        <f>'Carreg, Recep e Enc '!A10:R10</f>
        <v>CNPJ</v>
      </c>
      <c r="B6" s="320"/>
      <c r="C6" s="320"/>
      <c r="D6" s="320"/>
      <c r="E6" s="320"/>
      <c r="F6" s="320"/>
      <c r="G6" s="320"/>
      <c r="H6" s="320"/>
    </row>
    <row r="7" spans="1:8" x14ac:dyDescent="0.2">
      <c r="A7" s="40"/>
      <c r="B7" s="40"/>
      <c r="C7" s="40"/>
      <c r="D7" s="40"/>
      <c r="E7" s="40"/>
      <c r="F7" s="40"/>
      <c r="G7" s="40"/>
      <c r="H7" s="40"/>
    </row>
    <row r="8" spans="1:8" ht="12.75" customHeight="1" x14ac:dyDescent="0.2">
      <c r="A8" s="321" t="s">
        <v>52</v>
      </c>
      <c r="B8" s="321"/>
      <c r="C8" s="321"/>
      <c r="D8" s="321"/>
      <c r="E8" s="321"/>
      <c r="F8" s="235"/>
      <c r="G8" s="45" t="s">
        <v>53</v>
      </c>
      <c r="H8" s="45"/>
    </row>
    <row r="9" spans="1:8" x14ac:dyDescent="0.2">
      <c r="A9" s="321"/>
      <c r="B9" s="321"/>
      <c r="C9" s="321"/>
      <c r="D9" s="321"/>
      <c r="E9" s="321"/>
      <c r="F9" s="235" t="s">
        <v>54</v>
      </c>
      <c r="G9" s="45" t="s">
        <v>55</v>
      </c>
      <c r="H9" s="45"/>
    </row>
    <row r="10" spans="1:8" x14ac:dyDescent="0.2">
      <c r="A10" s="40"/>
      <c r="B10" s="40"/>
      <c r="C10" s="40"/>
      <c r="D10" s="40"/>
      <c r="E10" s="40"/>
      <c r="F10" s="40"/>
      <c r="G10" s="40"/>
      <c r="H10" s="40"/>
    </row>
    <row r="11" spans="1:8" ht="27" customHeight="1" x14ac:dyDescent="0.2">
      <c r="A11" s="322" t="s">
        <v>56</v>
      </c>
      <c r="B11" s="322"/>
      <c r="C11" s="322"/>
      <c r="D11" s="322"/>
      <c r="E11" s="322"/>
      <c r="F11" s="322"/>
      <c r="G11" s="322"/>
      <c r="H11" s="322"/>
    </row>
    <row r="12" spans="1:8" x14ac:dyDescent="0.2">
      <c r="A12" s="41"/>
      <c r="B12" s="41"/>
      <c r="C12" s="41"/>
      <c r="D12" s="41"/>
      <c r="E12" s="41"/>
      <c r="F12" s="46"/>
      <c r="G12" s="44"/>
      <c r="H12" s="44"/>
    </row>
    <row r="13" spans="1:8" ht="17.25" x14ac:dyDescent="0.3">
      <c r="A13" s="323" t="s">
        <v>57</v>
      </c>
      <c r="B13" s="323"/>
      <c r="C13" s="323"/>
      <c r="D13" s="323"/>
      <c r="E13" s="323"/>
      <c r="F13" s="323"/>
      <c r="G13" s="323"/>
      <c r="H13" s="48"/>
    </row>
    <row r="14" spans="1:8" x14ac:dyDescent="0.2">
      <c r="A14" s="40"/>
      <c r="B14" s="40"/>
      <c r="C14" s="40"/>
      <c r="D14" s="40"/>
      <c r="E14" s="40"/>
      <c r="F14" s="49" t="s">
        <v>58</v>
      </c>
      <c r="G14" s="49" t="s">
        <v>59</v>
      </c>
      <c r="H14" s="49" t="s">
        <v>60</v>
      </c>
    </row>
    <row r="15" spans="1:8" x14ac:dyDescent="0.2">
      <c r="A15" s="324" t="s">
        <v>61</v>
      </c>
      <c r="B15" s="324"/>
      <c r="C15" s="324"/>
      <c r="D15" s="324"/>
      <c r="E15" s="324"/>
      <c r="F15" s="238">
        <v>20</v>
      </c>
      <c r="G15" s="50" t="s">
        <v>62</v>
      </c>
      <c r="H15" s="50" t="s">
        <v>63</v>
      </c>
    </row>
    <row r="16" spans="1:8" x14ac:dyDescent="0.2">
      <c r="A16" s="324" t="s">
        <v>64</v>
      </c>
      <c r="B16" s="324"/>
      <c r="C16" s="324"/>
      <c r="D16" s="324"/>
      <c r="E16" s="324"/>
      <c r="F16" s="238">
        <v>1.5</v>
      </c>
      <c r="G16" s="50" t="s">
        <v>65</v>
      </c>
      <c r="H16" s="50" t="s">
        <v>66</v>
      </c>
    </row>
    <row r="17" spans="1:8" x14ac:dyDescent="0.2">
      <c r="A17" s="324" t="s">
        <v>67</v>
      </c>
      <c r="B17" s="324"/>
      <c r="C17" s="324"/>
      <c r="D17" s="324"/>
      <c r="E17" s="324"/>
      <c r="F17" s="238">
        <v>0.2</v>
      </c>
      <c r="G17" s="50" t="s">
        <v>68</v>
      </c>
      <c r="H17" s="50" t="s">
        <v>69</v>
      </c>
    </row>
    <row r="18" spans="1:8" x14ac:dyDescent="0.2">
      <c r="A18" s="324" t="s">
        <v>70</v>
      </c>
      <c r="B18" s="324"/>
      <c r="C18" s="324"/>
      <c r="D18" s="324"/>
      <c r="E18" s="324"/>
      <c r="F18" s="238">
        <v>1</v>
      </c>
      <c r="G18" s="50" t="s">
        <v>71</v>
      </c>
      <c r="H18" s="50" t="s">
        <v>72</v>
      </c>
    </row>
    <row r="19" spans="1:8" ht="22.5" x14ac:dyDescent="0.2">
      <c r="A19" s="324" t="s">
        <v>73</v>
      </c>
      <c r="B19" s="324"/>
      <c r="C19" s="324"/>
      <c r="D19" s="324"/>
      <c r="E19" s="324"/>
      <c r="F19" s="238">
        <v>2.5</v>
      </c>
      <c r="G19" s="50" t="s">
        <v>74</v>
      </c>
      <c r="H19" s="50" t="s">
        <v>75</v>
      </c>
    </row>
    <row r="20" spans="1:8" x14ac:dyDescent="0.2">
      <c r="A20" s="324" t="s">
        <v>76</v>
      </c>
      <c r="B20" s="324"/>
      <c r="C20" s="324"/>
      <c r="D20" s="324"/>
      <c r="E20" s="324"/>
      <c r="F20" s="238">
        <v>0.6</v>
      </c>
      <c r="G20" s="50" t="s">
        <v>77</v>
      </c>
      <c r="H20" s="50" t="s">
        <v>78</v>
      </c>
    </row>
    <row r="21" spans="1:8" ht="33.75" x14ac:dyDescent="0.2">
      <c r="A21" s="51" t="s">
        <v>79</v>
      </c>
      <c r="B21" s="236">
        <v>3</v>
      </c>
      <c r="C21" s="51" t="s">
        <v>80</v>
      </c>
      <c r="D21" s="237">
        <v>1</v>
      </c>
      <c r="E21" s="51" t="s">
        <v>81</v>
      </c>
      <c r="F21" s="53">
        <f>B21*D21</f>
        <v>3</v>
      </c>
      <c r="G21" s="50" t="s">
        <v>82</v>
      </c>
      <c r="H21" s="50" t="s">
        <v>83</v>
      </c>
    </row>
    <row r="22" spans="1:8" ht="22.5" x14ac:dyDescent="0.2">
      <c r="A22" s="324" t="s">
        <v>84</v>
      </c>
      <c r="B22" s="324"/>
      <c r="C22" s="324"/>
      <c r="D22" s="324"/>
      <c r="E22" s="324"/>
      <c r="F22" s="239">
        <v>8</v>
      </c>
      <c r="G22" s="50" t="s">
        <v>85</v>
      </c>
      <c r="H22" s="50" t="s">
        <v>86</v>
      </c>
    </row>
    <row r="23" spans="1:8" ht="13.5" customHeight="1" x14ac:dyDescent="0.2">
      <c r="A23" s="325" t="s">
        <v>87</v>
      </c>
      <c r="B23" s="325"/>
      <c r="C23" s="325"/>
      <c r="D23" s="325"/>
      <c r="E23" s="325"/>
      <c r="F23" s="54">
        <f>SUM(F15:F22)</f>
        <v>36.799999999999997</v>
      </c>
      <c r="G23" s="55"/>
      <c r="H23" s="56"/>
    </row>
    <row r="24" spans="1:8" x14ac:dyDescent="0.2">
      <c r="A24" s="39"/>
      <c r="B24" s="39"/>
      <c r="C24" s="39"/>
      <c r="D24" s="39"/>
      <c r="E24" s="39"/>
      <c r="F24" s="46"/>
      <c r="G24" s="56"/>
      <c r="H24" s="56"/>
    </row>
    <row r="25" spans="1:8" ht="17.25" x14ac:dyDescent="0.3">
      <c r="A25" s="323" t="s">
        <v>88</v>
      </c>
      <c r="B25" s="323"/>
      <c r="C25" s="323"/>
      <c r="D25" s="323"/>
      <c r="E25" s="323"/>
      <c r="F25" s="323"/>
      <c r="G25" s="323"/>
      <c r="H25" s="48"/>
    </row>
    <row r="26" spans="1:8" x14ac:dyDescent="0.2">
      <c r="A26" s="40"/>
      <c r="B26" s="40"/>
      <c r="C26" s="40"/>
      <c r="D26" s="40"/>
      <c r="E26" s="40"/>
      <c r="F26" s="49" t="s">
        <v>58</v>
      </c>
      <c r="G26" s="49" t="s">
        <v>59</v>
      </c>
      <c r="H26" s="49" t="s">
        <v>60</v>
      </c>
    </row>
    <row r="27" spans="1:8" ht="33.75" x14ac:dyDescent="0.2">
      <c r="A27" s="324" t="s">
        <v>89</v>
      </c>
      <c r="B27" s="324"/>
      <c r="C27" s="324"/>
      <c r="D27" s="324"/>
      <c r="E27" s="324"/>
      <c r="F27" s="240">
        <v>2.78</v>
      </c>
      <c r="G27" s="50" t="s">
        <v>90</v>
      </c>
      <c r="H27" s="50" t="s">
        <v>91</v>
      </c>
    </row>
    <row r="28" spans="1:8" ht="33.75" x14ac:dyDescent="0.2">
      <c r="A28" s="324" t="s">
        <v>92</v>
      </c>
      <c r="B28" s="324"/>
      <c r="C28" s="324"/>
      <c r="D28" s="324"/>
      <c r="E28" s="324"/>
      <c r="F28" s="240">
        <v>8.33</v>
      </c>
      <c r="G28" s="50" t="s">
        <v>93</v>
      </c>
      <c r="H28" s="50" t="s">
        <v>94</v>
      </c>
    </row>
    <row r="29" spans="1:8" x14ac:dyDescent="0.2">
      <c r="A29" s="326" t="s">
        <v>95</v>
      </c>
      <c r="B29" s="326"/>
      <c r="C29" s="326"/>
      <c r="D29" s="326"/>
      <c r="E29" s="326"/>
      <c r="F29" s="57">
        <f>F28+F27</f>
        <v>11.11</v>
      </c>
      <c r="G29" s="58"/>
      <c r="H29" s="58"/>
    </row>
    <row r="30" spans="1:8" x14ac:dyDescent="0.2">
      <c r="A30" s="327" t="s">
        <v>96</v>
      </c>
      <c r="B30" s="327"/>
      <c r="C30" s="327"/>
      <c r="D30" s="327"/>
      <c r="E30" s="327"/>
      <c r="F30" s="59">
        <f>F29%*F23</f>
        <v>4.0884799999999997</v>
      </c>
      <c r="G30" s="60" t="s">
        <v>97</v>
      </c>
      <c r="H30" s="61" t="s">
        <v>98</v>
      </c>
    </row>
    <row r="31" spans="1:8" ht="13.5" customHeight="1" x14ac:dyDescent="0.2">
      <c r="A31" s="328" t="s">
        <v>99</v>
      </c>
      <c r="B31" s="328"/>
      <c r="C31" s="328"/>
      <c r="D31" s="328"/>
      <c r="E31" s="328"/>
      <c r="F31" s="54">
        <f>F29+F30</f>
        <v>15.19848</v>
      </c>
      <c r="G31" s="62"/>
      <c r="H31" s="63"/>
    </row>
    <row r="32" spans="1:8" x14ac:dyDescent="0.2">
      <c r="A32" s="39"/>
      <c r="B32" s="39"/>
      <c r="C32" s="39"/>
      <c r="D32" s="39"/>
      <c r="E32" s="39"/>
      <c r="F32" s="46"/>
      <c r="G32" s="44"/>
      <c r="H32" s="44"/>
    </row>
    <row r="33" spans="1:8" ht="17.25" x14ac:dyDescent="0.3">
      <c r="A33" s="323" t="s">
        <v>100</v>
      </c>
      <c r="B33" s="323"/>
      <c r="C33" s="323"/>
      <c r="D33" s="323"/>
      <c r="E33" s="323"/>
      <c r="F33" s="323"/>
      <c r="G33" s="323"/>
      <c r="H33" s="48"/>
    </row>
    <row r="34" spans="1:8" x14ac:dyDescent="0.2">
      <c r="A34" s="40"/>
      <c r="B34" s="40"/>
      <c r="C34" s="40"/>
      <c r="D34" s="40"/>
      <c r="E34" s="40"/>
      <c r="F34" s="49" t="s">
        <v>58</v>
      </c>
      <c r="G34" s="49" t="s">
        <v>59</v>
      </c>
      <c r="H34" s="49" t="s">
        <v>60</v>
      </c>
    </row>
    <row r="35" spans="1:8" ht="33.75" x14ac:dyDescent="0.2">
      <c r="A35" s="324" t="s">
        <v>101</v>
      </c>
      <c r="B35" s="324"/>
      <c r="C35" s="324"/>
      <c r="D35" s="324"/>
      <c r="E35" s="324"/>
      <c r="F35" s="238">
        <v>0.03</v>
      </c>
      <c r="G35" s="50" t="s">
        <v>102</v>
      </c>
      <c r="H35" s="50" t="s">
        <v>103</v>
      </c>
    </row>
    <row r="36" spans="1:8" x14ac:dyDescent="0.2">
      <c r="A36" s="329" t="s">
        <v>104</v>
      </c>
      <c r="B36" s="329"/>
      <c r="C36" s="329"/>
      <c r="D36" s="329"/>
      <c r="E36" s="329"/>
      <c r="F36" s="64">
        <f>F35%*F23</f>
        <v>1.1039999999999998E-2</v>
      </c>
      <c r="G36" s="60" t="s">
        <v>105</v>
      </c>
      <c r="H36" s="61" t="s">
        <v>106</v>
      </c>
    </row>
    <row r="37" spans="1:8" ht="13.5" customHeight="1" x14ac:dyDescent="0.2">
      <c r="A37" s="325" t="s">
        <v>107</v>
      </c>
      <c r="B37" s="325"/>
      <c r="C37" s="325"/>
      <c r="D37" s="325"/>
      <c r="E37" s="325"/>
      <c r="F37" s="54">
        <f>F35+F36</f>
        <v>4.1039999999999993E-2</v>
      </c>
      <c r="G37" s="55"/>
      <c r="H37" s="56"/>
    </row>
    <row r="38" spans="1:8" x14ac:dyDescent="0.2">
      <c r="A38" s="39"/>
      <c r="B38" s="39"/>
      <c r="C38" s="39"/>
      <c r="D38" s="39"/>
      <c r="E38" s="39"/>
      <c r="F38" s="46"/>
      <c r="G38" s="44"/>
      <c r="H38" s="44"/>
    </row>
    <row r="39" spans="1:8" ht="17.25" x14ac:dyDescent="0.3">
      <c r="A39" s="47" t="s">
        <v>108</v>
      </c>
      <c r="B39" s="47"/>
      <c r="C39" s="47"/>
      <c r="D39" s="47"/>
      <c r="E39" s="47"/>
      <c r="F39" s="47"/>
      <c r="G39" s="47"/>
      <c r="H39" s="65"/>
    </row>
    <row r="40" spans="1:8" x14ac:dyDescent="0.2">
      <c r="A40" s="40"/>
      <c r="B40" s="40"/>
      <c r="C40" s="40"/>
      <c r="D40" s="40"/>
      <c r="E40" s="40"/>
      <c r="F40" s="49" t="s">
        <v>58</v>
      </c>
      <c r="G40" s="49" t="s">
        <v>59</v>
      </c>
      <c r="H40" s="49" t="s">
        <v>60</v>
      </c>
    </row>
    <row r="41" spans="1:8" ht="67.5" x14ac:dyDescent="0.2">
      <c r="A41" s="324" t="s">
        <v>109</v>
      </c>
      <c r="B41" s="324"/>
      <c r="C41" s="324"/>
      <c r="D41" s="324"/>
      <c r="E41" s="324"/>
      <c r="F41" s="238">
        <v>0.42</v>
      </c>
      <c r="G41" s="50" t="s">
        <v>110</v>
      </c>
      <c r="H41" s="50" t="s">
        <v>111</v>
      </c>
    </row>
    <row r="42" spans="1:8" x14ac:dyDescent="0.2">
      <c r="A42" s="324" t="s">
        <v>112</v>
      </c>
      <c r="B42" s="324"/>
      <c r="C42" s="324"/>
      <c r="D42" s="324"/>
      <c r="E42" s="324"/>
      <c r="F42" s="66">
        <f>F41*8%</f>
        <v>3.3599999999999998E-2</v>
      </c>
      <c r="G42" s="50" t="s">
        <v>113</v>
      </c>
      <c r="H42" s="67" t="s">
        <v>114</v>
      </c>
    </row>
    <row r="43" spans="1:8" x14ac:dyDescent="0.2">
      <c r="A43" s="324" t="s">
        <v>115</v>
      </c>
      <c r="B43" s="324"/>
      <c r="C43" s="324"/>
      <c r="D43" s="324"/>
      <c r="E43" s="324"/>
      <c r="F43" s="66">
        <f>F41*8%*40%</f>
        <v>1.3440000000000001E-2</v>
      </c>
      <c r="G43" s="50"/>
      <c r="H43" s="67" t="s">
        <v>116</v>
      </c>
    </row>
    <row r="44" spans="1:8" ht="45" x14ac:dyDescent="0.2">
      <c r="A44" s="324" t="s">
        <v>117</v>
      </c>
      <c r="B44" s="324"/>
      <c r="C44" s="324"/>
      <c r="D44" s="324"/>
      <c r="E44" s="324"/>
      <c r="F44" s="241">
        <v>1.94</v>
      </c>
      <c r="G44" s="50" t="s">
        <v>118</v>
      </c>
      <c r="H44" s="50" t="s">
        <v>119</v>
      </c>
    </row>
    <row r="45" spans="1:8" x14ac:dyDescent="0.2">
      <c r="A45" s="324" t="s">
        <v>120</v>
      </c>
      <c r="B45" s="324"/>
      <c r="C45" s="324"/>
      <c r="D45" s="324"/>
      <c r="E45" s="324"/>
      <c r="F45" s="66">
        <f>$F$23*F44%</f>
        <v>0.71392</v>
      </c>
      <c r="G45" s="68" t="s">
        <v>121</v>
      </c>
      <c r="H45" s="58" t="s">
        <v>122</v>
      </c>
    </row>
    <row r="46" spans="1:8" x14ac:dyDescent="0.2">
      <c r="A46" s="324" t="s">
        <v>123</v>
      </c>
      <c r="B46" s="324"/>
      <c r="C46" s="324"/>
      <c r="D46" s="324"/>
      <c r="E46" s="324"/>
      <c r="F46" s="69">
        <f>F44*8%*40%</f>
        <v>6.2080000000000003E-2</v>
      </c>
      <c r="G46" s="70"/>
      <c r="H46" s="58" t="s">
        <v>124</v>
      </c>
    </row>
    <row r="47" spans="1:8" ht="78.75" x14ac:dyDescent="0.2">
      <c r="A47" s="324" t="s">
        <v>125</v>
      </c>
      <c r="B47" s="324"/>
      <c r="C47" s="324"/>
      <c r="D47" s="324"/>
      <c r="E47" s="324"/>
      <c r="F47" s="242">
        <v>3.44</v>
      </c>
      <c r="G47" s="71" t="s">
        <v>126</v>
      </c>
      <c r="H47" s="71" t="s">
        <v>127</v>
      </c>
    </row>
    <row r="48" spans="1:8" ht="13.5" customHeight="1" x14ac:dyDescent="0.2">
      <c r="A48" s="325" t="s">
        <v>128</v>
      </c>
      <c r="B48" s="325"/>
      <c r="C48" s="325"/>
      <c r="D48" s="325"/>
      <c r="E48" s="325"/>
      <c r="F48" s="54">
        <f>SUM(F41:F47)</f>
        <v>6.6230399999999996</v>
      </c>
      <c r="G48" s="55"/>
      <c r="H48" s="56"/>
    </row>
    <row r="49" spans="1:13" x14ac:dyDescent="0.2">
      <c r="A49" s="72"/>
      <c r="B49" s="72"/>
      <c r="C49" s="72"/>
      <c r="D49" s="72"/>
      <c r="E49" s="72"/>
      <c r="F49" s="46"/>
      <c r="G49" s="44"/>
      <c r="H49" s="44"/>
    </row>
    <row r="50" spans="1:13" ht="17.25" x14ac:dyDescent="0.3">
      <c r="A50" s="323" t="s">
        <v>129</v>
      </c>
      <c r="B50" s="323"/>
      <c r="C50" s="323"/>
      <c r="D50" s="323"/>
      <c r="E50" s="323"/>
      <c r="F50" s="323"/>
      <c r="G50" s="323"/>
      <c r="H50" s="48"/>
    </row>
    <row r="51" spans="1:13" x14ac:dyDescent="0.2">
      <c r="A51" s="40"/>
      <c r="B51" s="40"/>
      <c r="C51" s="40"/>
      <c r="D51" s="40"/>
      <c r="E51" s="40"/>
      <c r="F51" s="49" t="s">
        <v>58</v>
      </c>
      <c r="G51" s="49" t="s">
        <v>59</v>
      </c>
      <c r="H51" s="49" t="s">
        <v>60</v>
      </c>
    </row>
    <row r="52" spans="1:13" ht="45" x14ac:dyDescent="0.2">
      <c r="A52" s="324" t="s">
        <v>130</v>
      </c>
      <c r="B52" s="324"/>
      <c r="C52" s="324"/>
      <c r="D52" s="324"/>
      <c r="E52" s="324"/>
      <c r="F52" s="238">
        <v>8.33</v>
      </c>
      <c r="G52" s="50" t="s">
        <v>131</v>
      </c>
      <c r="H52" s="50" t="s">
        <v>132</v>
      </c>
      <c r="I52" s="73"/>
      <c r="J52" s="73"/>
      <c r="K52" s="73"/>
      <c r="M52" s="74"/>
    </row>
    <row r="53" spans="1:13" ht="78.75" x14ac:dyDescent="0.2">
      <c r="A53" s="324" t="s">
        <v>133</v>
      </c>
      <c r="B53" s="324"/>
      <c r="C53" s="324"/>
      <c r="D53" s="324"/>
      <c r="E53" s="324"/>
      <c r="F53" s="238">
        <v>1.66</v>
      </c>
      <c r="G53" s="50" t="s">
        <v>134</v>
      </c>
      <c r="H53" s="50" t="s">
        <v>135</v>
      </c>
    </row>
    <row r="54" spans="1:13" ht="67.5" x14ac:dyDescent="0.2">
      <c r="A54" s="324" t="s">
        <v>136</v>
      </c>
      <c r="B54" s="324"/>
      <c r="C54" s="324"/>
      <c r="D54" s="324"/>
      <c r="E54" s="324"/>
      <c r="F54" s="238">
        <v>0.02</v>
      </c>
      <c r="G54" s="50" t="s">
        <v>137</v>
      </c>
      <c r="H54" s="50" t="s">
        <v>138</v>
      </c>
    </row>
    <row r="55" spans="1:13" ht="56.25" x14ac:dyDescent="0.2">
      <c r="A55" s="324" t="s">
        <v>139</v>
      </c>
      <c r="B55" s="324"/>
      <c r="C55" s="324"/>
      <c r="D55" s="324"/>
      <c r="E55" s="324"/>
      <c r="F55" s="238">
        <v>0.28000000000000003</v>
      </c>
      <c r="G55" s="50" t="s">
        <v>140</v>
      </c>
      <c r="H55" s="50" t="s">
        <v>141</v>
      </c>
      <c r="I55" s="73"/>
      <c r="J55" s="73"/>
      <c r="K55" s="73"/>
    </row>
    <row r="56" spans="1:13" ht="90" x14ac:dyDescent="0.2">
      <c r="A56" s="324" t="s">
        <v>142</v>
      </c>
      <c r="B56" s="324"/>
      <c r="C56" s="324"/>
      <c r="D56" s="324"/>
      <c r="E56" s="324"/>
      <c r="F56" s="238">
        <v>0.03</v>
      </c>
      <c r="G56" s="50" t="s">
        <v>143</v>
      </c>
      <c r="H56" s="50" t="s">
        <v>144</v>
      </c>
    </row>
    <row r="57" spans="1:13" x14ac:dyDescent="0.2">
      <c r="A57" s="330" t="s">
        <v>145</v>
      </c>
      <c r="B57" s="330"/>
      <c r="C57" s="330"/>
      <c r="D57" s="330"/>
      <c r="E57" s="330"/>
      <c r="F57" s="75">
        <f>SUM(F52:F56)</f>
        <v>10.319999999999999</v>
      </c>
      <c r="G57" s="76"/>
      <c r="H57" s="76"/>
    </row>
    <row r="58" spans="1:13" ht="26.25" customHeight="1" x14ac:dyDescent="0.2">
      <c r="A58" s="331" t="s">
        <v>146</v>
      </c>
      <c r="B58" s="331"/>
      <c r="C58" s="331"/>
      <c r="D58" s="331"/>
      <c r="E58" s="331"/>
      <c r="F58" s="77">
        <f>F57%*$F$23</f>
        <v>3.7977599999999994</v>
      </c>
      <c r="G58" s="78" t="s">
        <v>147</v>
      </c>
      <c r="H58" s="79" t="s">
        <v>148</v>
      </c>
    </row>
    <row r="59" spans="1:13" ht="13.5" customHeight="1" x14ac:dyDescent="0.2">
      <c r="A59" s="325" t="s">
        <v>149</v>
      </c>
      <c r="B59" s="325"/>
      <c r="C59" s="325"/>
      <c r="D59" s="325"/>
      <c r="E59" s="325"/>
      <c r="F59" s="54">
        <f>F57+F58</f>
        <v>14.117759999999997</v>
      </c>
      <c r="G59" s="55"/>
      <c r="H59" s="56"/>
    </row>
    <row r="60" spans="1:13" x14ac:dyDescent="0.2">
      <c r="A60" s="72"/>
      <c r="B60" s="72"/>
      <c r="C60" s="72"/>
      <c r="D60" s="72"/>
      <c r="E60" s="72"/>
      <c r="F60" s="46"/>
      <c r="G60" s="44"/>
      <c r="H60" s="44"/>
    </row>
    <row r="61" spans="1:13" ht="13.5" customHeight="1" x14ac:dyDescent="0.2">
      <c r="A61" s="332" t="s">
        <v>150</v>
      </c>
      <c r="B61" s="332"/>
      <c r="C61" s="332"/>
      <c r="D61" s="332"/>
      <c r="E61" s="332"/>
      <c r="F61" s="332"/>
      <c r="G61" s="332"/>
      <c r="H61" s="332"/>
    </row>
    <row r="62" spans="1:13" x14ac:dyDescent="0.2">
      <c r="A62" s="40"/>
      <c r="B62" s="40"/>
      <c r="C62" s="40"/>
      <c r="D62" s="40"/>
      <c r="E62" s="40"/>
      <c r="F62" s="43"/>
      <c r="G62" s="80"/>
      <c r="H62" s="80"/>
    </row>
    <row r="63" spans="1:13" ht="13.5" customHeight="1" x14ac:dyDescent="0.2">
      <c r="A63" s="333" t="s">
        <v>151</v>
      </c>
      <c r="B63" s="333"/>
      <c r="C63" s="333"/>
      <c r="D63" s="333"/>
      <c r="E63" s="333"/>
      <c r="F63" s="81">
        <f>F23</f>
        <v>36.799999999999997</v>
      </c>
      <c r="G63" s="40"/>
      <c r="H63" s="40"/>
    </row>
    <row r="64" spans="1:13" ht="13.5" customHeight="1" x14ac:dyDescent="0.2">
      <c r="A64" s="333" t="s">
        <v>152</v>
      </c>
      <c r="B64" s="333"/>
      <c r="C64" s="333"/>
      <c r="D64" s="333"/>
      <c r="E64" s="333"/>
      <c r="F64" s="81">
        <f>F31</f>
        <v>15.19848</v>
      </c>
      <c r="G64" s="40"/>
      <c r="H64" s="40"/>
    </row>
    <row r="65" spans="1:8" ht="13.5" customHeight="1" x14ac:dyDescent="0.2">
      <c r="A65" s="333" t="s">
        <v>153</v>
      </c>
      <c r="B65" s="333"/>
      <c r="C65" s="333"/>
      <c r="D65" s="333"/>
      <c r="E65" s="333"/>
      <c r="F65" s="81">
        <f>F37</f>
        <v>4.1039999999999993E-2</v>
      </c>
      <c r="G65" s="40"/>
      <c r="H65" s="40"/>
    </row>
    <row r="66" spans="1:8" ht="13.5" customHeight="1" x14ac:dyDescent="0.2">
      <c r="A66" s="333" t="s">
        <v>154</v>
      </c>
      <c r="B66" s="333"/>
      <c r="C66" s="333"/>
      <c r="D66" s="333"/>
      <c r="E66" s="333"/>
      <c r="F66" s="81">
        <f>F48</f>
        <v>6.6230399999999996</v>
      </c>
      <c r="G66" s="40"/>
      <c r="H66" s="40"/>
    </row>
    <row r="67" spans="1:8" ht="13.5" customHeight="1" x14ac:dyDescent="0.2">
      <c r="A67" s="333" t="s">
        <v>155</v>
      </c>
      <c r="B67" s="333"/>
      <c r="C67" s="333"/>
      <c r="D67" s="333"/>
      <c r="E67" s="333"/>
      <c r="F67" s="81">
        <f>F59</f>
        <v>14.117759999999997</v>
      </c>
      <c r="G67" s="40"/>
      <c r="H67" s="40"/>
    </row>
    <row r="68" spans="1:8" ht="13.5" customHeight="1" x14ac:dyDescent="0.2">
      <c r="A68" s="325" t="s">
        <v>156</v>
      </c>
      <c r="B68" s="325"/>
      <c r="C68" s="325"/>
      <c r="D68" s="325"/>
      <c r="E68" s="325"/>
      <c r="F68" s="54">
        <f>SUM(F63:F67)</f>
        <v>72.780319999999989</v>
      </c>
      <c r="G68" s="55" t="s">
        <v>58</v>
      </c>
      <c r="H68" s="56"/>
    </row>
    <row r="69" spans="1:8" ht="15" x14ac:dyDescent="0.2">
      <c r="A69" s="82"/>
      <c r="B69" s="82"/>
      <c r="C69" s="82"/>
      <c r="D69" s="82"/>
      <c r="E69" s="82"/>
      <c r="F69" s="83"/>
      <c r="G69" s="83"/>
      <c r="H69" s="83"/>
    </row>
    <row r="70" spans="1:8" x14ac:dyDescent="0.2">
      <c r="A70" s="334" t="s">
        <v>157</v>
      </c>
      <c r="B70" s="334"/>
      <c r="C70" s="334"/>
      <c r="D70" s="40"/>
      <c r="E70" s="40"/>
      <c r="F70" s="43"/>
      <c r="G70" s="44"/>
      <c r="H70" s="44"/>
    </row>
  </sheetData>
  <sheetProtection password="F385" sheet="1" objects="1" scenarios="1" selectLockedCells="1"/>
  <mergeCells count="51">
    <mergeCell ref="A70:C70"/>
    <mergeCell ref="A64:E64"/>
    <mergeCell ref="A65:E65"/>
    <mergeCell ref="A66:E66"/>
    <mergeCell ref="A67:E67"/>
    <mergeCell ref="A68:E68"/>
    <mergeCell ref="A57:E57"/>
    <mergeCell ref="A58:E58"/>
    <mergeCell ref="A59:E59"/>
    <mergeCell ref="A61:H61"/>
    <mergeCell ref="A63:E63"/>
    <mergeCell ref="A52:E52"/>
    <mergeCell ref="A53:E53"/>
    <mergeCell ref="A54:E54"/>
    <mergeCell ref="A55:E55"/>
    <mergeCell ref="A56:E56"/>
    <mergeCell ref="A45:E45"/>
    <mergeCell ref="A46:E46"/>
    <mergeCell ref="A47:E47"/>
    <mergeCell ref="A48:E48"/>
    <mergeCell ref="A50:G50"/>
    <mergeCell ref="A37:E37"/>
    <mergeCell ref="A41:E41"/>
    <mergeCell ref="A42:E42"/>
    <mergeCell ref="A43:E43"/>
    <mergeCell ref="A44:E44"/>
    <mergeCell ref="A30:E30"/>
    <mergeCell ref="A31:E31"/>
    <mergeCell ref="A33:G33"/>
    <mergeCell ref="A35:E35"/>
    <mergeCell ref="A36:E36"/>
    <mergeCell ref="A23:E23"/>
    <mergeCell ref="A25:G25"/>
    <mergeCell ref="A27:E27"/>
    <mergeCell ref="A28:E28"/>
    <mergeCell ref="A29:E29"/>
    <mergeCell ref="A17:E17"/>
    <mergeCell ref="A18:E18"/>
    <mergeCell ref="A19:E19"/>
    <mergeCell ref="A20:E20"/>
    <mergeCell ref="A22:E22"/>
    <mergeCell ref="A8:E9"/>
    <mergeCell ref="A11:H11"/>
    <mergeCell ref="A13:G13"/>
    <mergeCell ref="A15:E15"/>
    <mergeCell ref="A16:E16"/>
    <mergeCell ref="A1:H1"/>
    <mergeCell ref="A2:H2"/>
    <mergeCell ref="A3:H3"/>
    <mergeCell ref="A5:H5"/>
    <mergeCell ref="A6:H6"/>
  </mergeCells>
  <conditionalFormatting sqref="H9">
    <cfRule type="expression" dxfId="3" priority="2">
      <formula>$F$9&lt;&gt;""</formula>
    </cfRule>
  </conditionalFormatting>
  <conditionalFormatting sqref="G8">
    <cfRule type="expression" dxfId="2" priority="3">
      <formula>$F$8&lt;&gt;""</formula>
    </cfRule>
  </conditionalFormatting>
  <conditionalFormatting sqref="G9">
    <cfRule type="expression" dxfId="1" priority="4">
      <formula>$F$9&lt;&gt;""</formula>
    </cfRule>
  </conditionalFormatting>
  <conditionalFormatting sqref="H8">
    <cfRule type="expression" dxfId="0" priority="5">
      <formula>$F$8&lt;&gt;""</formula>
    </cfRule>
  </conditionalFormatting>
  <printOptions horizontalCentered="1"/>
  <pageMargins left="0.11811023622047245" right="0.11811023622047245" top="0.74803149606299213" bottom="0.27559055118110237" header="0.19685039370078741" footer="7.874015748031496E-2"/>
  <pageSetup paperSize="9" scale="70" firstPageNumber="0" orientation="portrait" horizontalDpi="300" verticalDpi="300" r:id="rId1"/>
  <headerFooter>
    <oddHeader>&amp;C&amp;G&amp;R&amp;8&amp;P</oddHeader>
    <oddFooter>&amp;L&amp;8&amp;G
   &amp;"Arial,Negrito"&amp;K08-024SCCAT/CFIC/ECOFC</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sheetPr>
  <dimension ref="A1:AMK21"/>
  <sheetViews>
    <sheetView view="pageBreakPreview" zoomScaleNormal="100" workbookViewId="0">
      <selection sqref="A1:XFD1048576"/>
    </sheetView>
  </sheetViews>
  <sheetFormatPr defaultRowHeight="15" x14ac:dyDescent="0.25"/>
  <cols>
    <col min="1" max="1" width="56.7109375" style="14" customWidth="1"/>
    <col min="2" max="2" width="17.85546875" style="14" customWidth="1"/>
    <col min="3" max="1025" width="9.140625" style="14" customWidth="1"/>
    <col min="1026" max="16384" width="9.140625" style="4"/>
  </cols>
  <sheetData>
    <row r="1" spans="1:2" ht="18" x14ac:dyDescent="0.25">
      <c r="A1" s="338" t="str">
        <f>'Carreg, Recep e Enc '!A1:R1</f>
        <v>TRIBUNAL REGIONAL ELEITORAL DO PARANÁ</v>
      </c>
      <c r="B1" s="338"/>
    </row>
    <row r="2" spans="1:2" x14ac:dyDescent="0.25">
      <c r="A2" s="339" t="str">
        <f>'Carreg, Recep e Enc '!A2:R2</f>
        <v>Planilha de Custos e Formação de Preços - Estimativa TRE-PR</v>
      </c>
      <c r="B2" s="339"/>
    </row>
    <row r="3" spans="1:2" x14ac:dyDescent="0.25">
      <c r="A3" s="340" t="str">
        <f>'Carreg, Recep e Enc '!A3:R3</f>
        <v>Serviços de Carregador, Recepcionista e Encarregado</v>
      </c>
      <c r="B3" s="340"/>
    </row>
    <row r="4" spans="1:2" x14ac:dyDescent="0.25">
      <c r="A4" s="341"/>
      <c r="B4" s="341"/>
    </row>
    <row r="5" spans="1:2" x14ac:dyDescent="0.25">
      <c r="A5" s="342" t="str">
        <f>'Carreg, Recep e Enc '!A9:R9</f>
        <v>Empresa</v>
      </c>
      <c r="B5" s="342"/>
    </row>
    <row r="6" spans="1:2" x14ac:dyDescent="0.25">
      <c r="A6" s="335" t="str">
        <f>'Carreg, Recep e Enc '!A10:R10</f>
        <v>CNPJ</v>
      </c>
      <c r="B6" s="335"/>
    </row>
    <row r="7" spans="1:2" x14ac:dyDescent="0.25">
      <c r="A7" s="2"/>
      <c r="B7" s="2"/>
    </row>
    <row r="8" spans="1:2" ht="30" customHeight="1" x14ac:dyDescent="0.25">
      <c r="A8" s="332" t="s">
        <v>158</v>
      </c>
      <c r="B8" s="332"/>
    </row>
    <row r="9" spans="1:2" x14ac:dyDescent="0.25">
      <c r="A9" s="84"/>
      <c r="B9" s="84"/>
    </row>
    <row r="10" spans="1:2" x14ac:dyDescent="0.25">
      <c r="A10" s="85" t="s">
        <v>8</v>
      </c>
      <c r="B10" s="86" t="s">
        <v>159</v>
      </c>
    </row>
    <row r="11" spans="1:2" x14ac:dyDescent="0.25">
      <c r="A11" s="87" t="s">
        <v>160</v>
      </c>
      <c r="B11" s="243">
        <v>0.03</v>
      </c>
    </row>
    <row r="12" spans="1:2" x14ac:dyDescent="0.25">
      <c r="A12" s="88" t="s">
        <v>161</v>
      </c>
      <c r="B12" s="244">
        <v>6.7900000000000002E-2</v>
      </c>
    </row>
    <row r="13" spans="1:2" x14ac:dyDescent="0.25">
      <c r="A13" s="88" t="s">
        <v>162</v>
      </c>
      <c r="B13" s="244">
        <v>1.6500000000000001E-2</v>
      </c>
    </row>
    <row r="14" spans="1:2" ht="16.5" customHeight="1" x14ac:dyDescent="0.25">
      <c r="A14" s="88" t="s">
        <v>163</v>
      </c>
      <c r="B14" s="244">
        <v>7.5999999999999998E-2</v>
      </c>
    </row>
    <row r="15" spans="1:2" x14ac:dyDescent="0.25">
      <c r="A15" s="88" t="s">
        <v>164</v>
      </c>
      <c r="B15" s="244">
        <v>0.05</v>
      </c>
    </row>
    <row r="16" spans="1:2" x14ac:dyDescent="0.25">
      <c r="A16" s="89" t="s">
        <v>165</v>
      </c>
      <c r="B16" s="245"/>
    </row>
    <row r="17" spans="1:2" ht="32.25" customHeight="1" x14ac:dyDescent="0.25">
      <c r="A17" s="336" t="s">
        <v>166</v>
      </c>
      <c r="B17" s="336"/>
    </row>
    <row r="18" spans="1:2" x14ac:dyDescent="0.25">
      <c r="A18" s="90" t="s">
        <v>167</v>
      </c>
      <c r="B18" s="170">
        <f>((1+B11)/(1-(B13+B14+B15+B16)-B12))-1</f>
        <v>0.30445795339412363</v>
      </c>
    </row>
    <row r="19" spans="1:2" x14ac:dyDescent="0.25">
      <c r="A19" s="91"/>
      <c r="B19" s="92"/>
    </row>
    <row r="20" spans="1:2" x14ac:dyDescent="0.25">
      <c r="A20" s="93" t="s">
        <v>168</v>
      </c>
      <c r="B20" s="94"/>
    </row>
    <row r="21" spans="1:2" ht="15" customHeight="1" x14ac:dyDescent="0.25">
      <c r="A21" s="337" t="s">
        <v>169</v>
      </c>
      <c r="B21" s="337"/>
    </row>
  </sheetData>
  <sheetProtection password="F385" sheet="1" objects="1" scenarios="1" selectLockedCells="1"/>
  <mergeCells count="9">
    <mergeCell ref="A6:B6"/>
    <mergeCell ref="A8:B8"/>
    <mergeCell ref="A17:B17"/>
    <mergeCell ref="A21:B21"/>
    <mergeCell ref="A1:B1"/>
    <mergeCell ref="A2:B2"/>
    <mergeCell ref="A3:B3"/>
    <mergeCell ref="A4:B4"/>
    <mergeCell ref="A5:B5"/>
  </mergeCells>
  <printOptions horizontalCentered="1"/>
  <pageMargins left="0.51181102362204722" right="0.51181102362204722" top="1.1023622047244095" bottom="0.39370078740157483" header="0.31496062992125984" footer="7.874015748031496E-2"/>
  <pageSetup paperSize="9" firstPageNumber="0" orientation="portrait" horizontalDpi="300" verticalDpi="300" r:id="rId1"/>
  <headerFooter>
    <oddHeader>&amp;C&amp;G&amp;R&amp;8&amp;P</oddHeader>
    <oddFooter>&amp;L&amp;8&amp;G
   &amp;"Arial,Negrito"&amp;K08-024SCCAT/CFIC/SECOFC</oddFooter>
  </headerFooter>
  <legacyDrawingHF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FF"/>
    <pageSetUpPr fitToPage="1"/>
  </sheetPr>
  <dimension ref="A1:AMK50"/>
  <sheetViews>
    <sheetView showGridLines="0" view="pageBreakPreview" zoomScaleNormal="100" workbookViewId="0">
      <selection sqref="A1:XFD1048576"/>
    </sheetView>
  </sheetViews>
  <sheetFormatPr defaultRowHeight="12.75" x14ac:dyDescent="0.2"/>
  <cols>
    <col min="1" max="1" width="45.5703125" style="207" customWidth="1"/>
    <col min="2" max="5" width="12.7109375" style="11" customWidth="1"/>
    <col min="6" max="6" width="2.85546875" style="11" customWidth="1"/>
    <col min="7" max="10" width="12.7109375" style="11" customWidth="1"/>
    <col min="11" max="247" width="9.140625" style="11" customWidth="1"/>
    <col min="248" max="248" width="31.28515625" style="11" customWidth="1"/>
    <col min="249" max="249" width="18" style="11" customWidth="1"/>
    <col min="250" max="250" width="14" style="11" customWidth="1"/>
    <col min="251" max="254" width="12.42578125" style="11" customWidth="1"/>
    <col min="255" max="255" width="4.85546875" style="11" customWidth="1"/>
    <col min="256" max="259" width="12.7109375" style="11" customWidth="1"/>
    <col min="260" max="503" width="9.140625" style="11" customWidth="1"/>
    <col min="504" max="504" width="31.28515625" style="11" customWidth="1"/>
    <col min="505" max="505" width="18" style="11" customWidth="1"/>
    <col min="506" max="506" width="14" style="11" customWidth="1"/>
    <col min="507" max="510" width="12.42578125" style="11" customWidth="1"/>
    <col min="511" max="511" width="4.85546875" style="11" customWidth="1"/>
    <col min="512" max="515" width="12.7109375" style="11" customWidth="1"/>
    <col min="516" max="759" width="9.140625" style="11" customWidth="1"/>
    <col min="760" max="760" width="31.28515625" style="11" customWidth="1"/>
    <col min="761" max="761" width="18" style="11" customWidth="1"/>
    <col min="762" max="762" width="14" style="11" customWidth="1"/>
    <col min="763" max="766" width="12.42578125" style="11" customWidth="1"/>
    <col min="767" max="767" width="4.85546875" style="11" customWidth="1"/>
    <col min="768" max="771" width="12.7109375" style="11" customWidth="1"/>
    <col min="772" max="1015" width="9.140625" style="11" customWidth="1"/>
    <col min="1016" max="1016" width="31.28515625" style="11" customWidth="1"/>
    <col min="1017" max="1017" width="18" style="11" customWidth="1"/>
    <col min="1018" max="1018" width="14" style="11" customWidth="1"/>
    <col min="1019" max="1022" width="12.42578125" style="11" customWidth="1"/>
    <col min="1023" max="1023" width="4.85546875" style="11" customWidth="1"/>
    <col min="1024" max="1025" width="12.7109375" style="11" customWidth="1"/>
    <col min="1026" max="16384" width="9.140625" style="4"/>
  </cols>
  <sheetData>
    <row r="1" spans="1:10" s="196" customFormat="1" ht="18" customHeight="1" x14ac:dyDescent="0.2">
      <c r="A1" s="347" t="str">
        <f>'Carreg, Recep e Enc '!A1:R1</f>
        <v>TRIBUNAL REGIONAL ELEITORAL DO PARANÁ</v>
      </c>
      <c r="B1" s="347"/>
      <c r="C1" s="347"/>
      <c r="D1" s="347"/>
      <c r="E1" s="347"/>
      <c r="F1" s="347"/>
      <c r="G1" s="347"/>
      <c r="H1" s="347"/>
      <c r="I1" s="347"/>
      <c r="J1" s="347"/>
    </row>
    <row r="2" spans="1:10" ht="12.75" customHeight="1" x14ac:dyDescent="0.2">
      <c r="A2" s="348" t="str">
        <f>'Carreg, Recep e Enc '!A2:R2</f>
        <v>Planilha de Custos e Formação de Preços - Estimativa TRE-PR</v>
      </c>
      <c r="B2" s="348"/>
      <c r="C2" s="348"/>
      <c r="D2" s="348"/>
      <c r="E2" s="348"/>
      <c r="F2" s="348"/>
      <c r="G2" s="348"/>
      <c r="H2" s="348"/>
      <c r="I2" s="348"/>
      <c r="J2" s="348"/>
    </row>
    <row r="3" spans="1:10" ht="15" customHeight="1" x14ac:dyDescent="0.2">
      <c r="A3" s="349" t="str">
        <f>'Carreg, Recep e Enc '!A3:R3</f>
        <v>Serviços de Carregador, Recepcionista e Encarregado</v>
      </c>
      <c r="B3" s="349"/>
      <c r="C3" s="349"/>
      <c r="D3" s="349"/>
      <c r="E3" s="349"/>
      <c r="F3" s="349"/>
      <c r="G3" s="349"/>
      <c r="H3" s="349"/>
      <c r="I3" s="349"/>
      <c r="J3" s="349"/>
    </row>
    <row r="4" spans="1:10" ht="15" customHeight="1" x14ac:dyDescent="0.2">
      <c r="A4" s="270"/>
      <c r="B4" s="270"/>
      <c r="C4" s="270"/>
      <c r="D4" s="270"/>
      <c r="E4" s="270"/>
    </row>
    <row r="5" spans="1:10" ht="15" customHeight="1" x14ac:dyDescent="0.2">
      <c r="A5" s="266"/>
      <c r="B5" s="266"/>
      <c r="C5" s="95"/>
      <c r="I5" s="96" t="s">
        <v>170</v>
      </c>
      <c r="J5" s="97" t="str">
        <f>'Carreg, Recep e Enc '!R5</f>
        <v>12677/2021</v>
      </c>
    </row>
    <row r="6" spans="1:10" ht="15" customHeight="1" x14ac:dyDescent="0.2">
      <c r="A6" s="95"/>
      <c r="B6" s="95"/>
      <c r="C6" s="98"/>
      <c r="I6" s="99" t="s">
        <v>4</v>
      </c>
      <c r="J6" s="194">
        <f>'Carreg, Recep e Enc '!R7</f>
        <v>0</v>
      </c>
    </row>
    <row r="7" spans="1:10" ht="15" customHeight="1" x14ac:dyDescent="0.2">
      <c r="A7" s="95"/>
      <c r="B7" s="95"/>
      <c r="C7" s="98"/>
      <c r="D7" s="270"/>
      <c r="E7" s="100"/>
    </row>
    <row r="8" spans="1:10" ht="15" customHeight="1" x14ac:dyDescent="0.2">
      <c r="A8" s="350" t="str">
        <f>'Carreg, Recep e Enc '!A9:R9</f>
        <v>Empresa</v>
      </c>
      <c r="B8" s="350"/>
      <c r="C8" s="350"/>
      <c r="D8" s="350"/>
      <c r="E8" s="350"/>
      <c r="F8" s="350"/>
      <c r="G8" s="350"/>
      <c r="H8" s="350"/>
      <c r="I8" s="350"/>
      <c r="J8" s="350"/>
    </row>
    <row r="9" spans="1:10" ht="15" customHeight="1" x14ac:dyDescent="0.2">
      <c r="A9" s="351" t="str">
        <f>'Carreg, Recep e Enc '!A10:R10</f>
        <v>CNPJ</v>
      </c>
      <c r="B9" s="351"/>
      <c r="C9" s="351"/>
      <c r="D9" s="351"/>
      <c r="E9" s="351"/>
      <c r="F9" s="351"/>
      <c r="G9" s="351"/>
      <c r="H9" s="351"/>
      <c r="I9" s="351"/>
      <c r="J9" s="351"/>
    </row>
    <row r="10" spans="1:10" x14ac:dyDescent="0.2">
      <c r="A10" s="101"/>
      <c r="B10" s="101"/>
      <c r="C10" s="101"/>
      <c r="D10" s="101"/>
      <c r="E10" s="101"/>
    </row>
    <row r="11" spans="1:10" ht="25.5" customHeight="1" x14ac:dyDescent="0.2">
      <c r="A11" s="343" t="s">
        <v>171</v>
      </c>
      <c r="B11" s="343"/>
      <c r="C11" s="343"/>
      <c r="D11" s="343"/>
      <c r="E11" s="343"/>
      <c r="F11" s="343"/>
      <c r="G11" s="343"/>
      <c r="H11" s="343"/>
      <c r="I11" s="343"/>
      <c r="J11" s="343"/>
    </row>
    <row r="12" spans="1:10" ht="25.5" customHeight="1" x14ac:dyDescent="0.25">
      <c r="A12" s="344" t="s">
        <v>172</v>
      </c>
      <c r="B12" s="344"/>
      <c r="C12" s="344"/>
      <c r="D12" s="344"/>
      <c r="E12" s="344"/>
    </row>
    <row r="13" spans="1:10" s="197" customFormat="1" ht="16.5" customHeight="1" x14ac:dyDescent="0.25">
      <c r="A13" s="102" t="s">
        <v>173</v>
      </c>
      <c r="B13" s="102"/>
      <c r="C13" s="103"/>
      <c r="D13" s="103"/>
      <c r="E13" s="103"/>
      <c r="F13" s="103"/>
      <c r="G13" s="345" t="s">
        <v>174</v>
      </c>
      <c r="H13" s="345"/>
      <c r="I13" s="345"/>
      <c r="J13" s="345"/>
    </row>
    <row r="14" spans="1:10" ht="24" x14ac:dyDescent="0.2">
      <c r="A14" s="11"/>
      <c r="B14" s="104" t="s">
        <v>175</v>
      </c>
      <c r="C14" s="104" t="s">
        <v>176</v>
      </c>
      <c r="D14" s="105" t="s">
        <v>177</v>
      </c>
      <c r="E14" s="104" t="s">
        <v>178</v>
      </c>
      <c r="G14" s="106" t="s">
        <v>179</v>
      </c>
      <c r="H14" s="106" t="s">
        <v>180</v>
      </c>
      <c r="I14" s="106" t="s">
        <v>181</v>
      </c>
      <c r="J14" s="107" t="s">
        <v>182</v>
      </c>
    </row>
    <row r="15" spans="1:10" ht="25.5" x14ac:dyDescent="0.2">
      <c r="A15" s="108" t="s">
        <v>183</v>
      </c>
      <c r="B15" s="109">
        <v>6</v>
      </c>
      <c r="C15" s="268">
        <v>60</v>
      </c>
      <c r="D15" s="246">
        <f>J15</f>
        <v>743.68</v>
      </c>
      <c r="E15" s="189">
        <f>ROUND(((B15*D15)/C15),2)</f>
        <v>74.37</v>
      </c>
      <c r="G15" s="229">
        <v>802.5</v>
      </c>
      <c r="H15" s="229">
        <v>699.9</v>
      </c>
      <c r="I15" s="229">
        <v>728.65</v>
      </c>
      <c r="J15" s="198">
        <f>ROUND((IF(AND(G15="",H15="",I15="")=TRUE,0,AVERAGE(G15:I15))),2)</f>
        <v>743.68</v>
      </c>
    </row>
    <row r="16" spans="1:10" x14ac:dyDescent="0.2">
      <c r="A16" s="4"/>
      <c r="B16" s="4"/>
      <c r="C16" s="4"/>
      <c r="D16" s="4"/>
      <c r="E16" s="190">
        <f>SUM(E15:E15)</f>
        <v>74.37</v>
      </c>
      <c r="G16" s="199"/>
      <c r="H16" s="199"/>
      <c r="I16" s="199"/>
      <c r="J16" s="200"/>
    </row>
    <row r="17" spans="1:10" ht="16.5" customHeight="1" x14ac:dyDescent="0.2">
      <c r="A17" s="110" t="s">
        <v>184</v>
      </c>
      <c r="B17" s="110"/>
      <c r="C17" s="111"/>
      <c r="D17" s="111"/>
      <c r="E17" s="112"/>
      <c r="G17" s="201"/>
      <c r="H17" s="201"/>
      <c r="I17" s="201"/>
      <c r="J17" s="201"/>
    </row>
    <row r="18" spans="1:10" ht="24" x14ac:dyDescent="0.2">
      <c r="A18" s="113"/>
      <c r="B18" s="104" t="s">
        <v>185</v>
      </c>
      <c r="C18" s="104" t="s">
        <v>186</v>
      </c>
      <c r="D18" s="105" t="s">
        <v>177</v>
      </c>
      <c r="E18" s="114" t="s">
        <v>178</v>
      </c>
      <c r="G18" s="201"/>
      <c r="H18" s="201"/>
      <c r="I18" s="201"/>
      <c r="J18" s="201"/>
    </row>
    <row r="19" spans="1:10" x14ac:dyDescent="0.2">
      <c r="A19" s="115" t="s">
        <v>187</v>
      </c>
      <c r="B19" s="268">
        <v>3</v>
      </c>
      <c r="C19" s="116">
        <v>6</v>
      </c>
      <c r="D19" s="246">
        <f>J19</f>
        <v>57.4</v>
      </c>
      <c r="E19" s="191">
        <f>ROUND(((B19*D19)/C19),2)</f>
        <v>28.7</v>
      </c>
      <c r="G19" s="229">
        <v>64.25</v>
      </c>
      <c r="H19" s="229">
        <v>44.16</v>
      </c>
      <c r="I19" s="229">
        <v>63.8</v>
      </c>
      <c r="J19" s="202">
        <f>ROUND((IF(AND(G19="",H19="",I19="")=TRUE,0,AVERAGE(G19:I19))),2)</f>
        <v>57.4</v>
      </c>
    </row>
    <row r="20" spans="1:10" x14ac:dyDescent="0.2">
      <c r="A20" s="118" t="s">
        <v>188</v>
      </c>
      <c r="B20" s="119">
        <v>3</v>
      </c>
      <c r="C20" s="120">
        <v>6</v>
      </c>
      <c r="D20" s="246">
        <f>J20</f>
        <v>33</v>
      </c>
      <c r="E20" s="192">
        <f>ROUND(((B20*D20)/C20),2)</f>
        <v>16.5</v>
      </c>
      <c r="G20" s="276">
        <v>27.25</v>
      </c>
      <c r="H20" s="276">
        <v>33.5</v>
      </c>
      <c r="I20" s="276">
        <v>38.24</v>
      </c>
      <c r="J20" s="203">
        <f>ROUND((IF(AND(G20="",H20="",I20="")=TRUE,0,AVERAGE(G20:I20))),2)</f>
        <v>33</v>
      </c>
    </row>
    <row r="21" spans="1:10" x14ac:dyDescent="0.2">
      <c r="A21" s="115" t="s">
        <v>189</v>
      </c>
      <c r="B21" s="268">
        <v>3</v>
      </c>
      <c r="C21" s="116">
        <v>6</v>
      </c>
      <c r="D21" s="246">
        <f>J21</f>
        <v>35.75</v>
      </c>
      <c r="E21" s="191">
        <f>ROUND(((B21*D21)/C21),2)</f>
        <v>17.88</v>
      </c>
      <c r="G21" s="229">
        <v>31.75</v>
      </c>
      <c r="H21" s="229">
        <v>35.5</v>
      </c>
      <c r="I21" s="229">
        <v>39.99</v>
      </c>
      <c r="J21" s="202">
        <f t="shared" ref="J21:J23" si="0">ROUND((IF(AND(G21="",H21="",I21="")=TRUE,0,AVERAGE(G21:I21))),2)</f>
        <v>35.75</v>
      </c>
    </row>
    <row r="22" spans="1:10" x14ac:dyDescent="0.2">
      <c r="A22" s="118" t="s">
        <v>190</v>
      </c>
      <c r="B22" s="119">
        <v>1</v>
      </c>
      <c r="C22" s="120">
        <v>6</v>
      </c>
      <c r="D22" s="246">
        <f>J22</f>
        <v>163.86</v>
      </c>
      <c r="E22" s="192">
        <f>ROUND(((B22*D22)/C22),2)</f>
        <v>27.31</v>
      </c>
      <c r="G22" s="276">
        <v>181.7</v>
      </c>
      <c r="H22" s="276">
        <v>129.9</v>
      </c>
      <c r="I22" s="276">
        <v>179.99</v>
      </c>
      <c r="J22" s="203">
        <f t="shared" si="0"/>
        <v>163.86</v>
      </c>
    </row>
    <row r="23" spans="1:10" ht="25.5" x14ac:dyDescent="0.2">
      <c r="A23" s="115" t="s">
        <v>191</v>
      </c>
      <c r="B23" s="268">
        <v>2</v>
      </c>
      <c r="C23" s="116">
        <v>6</v>
      </c>
      <c r="D23" s="246">
        <f>J23</f>
        <v>49.15</v>
      </c>
      <c r="E23" s="191">
        <f>ROUND(((B23*D23)/C23),2)</f>
        <v>16.38</v>
      </c>
      <c r="G23" s="229">
        <v>40.89</v>
      </c>
      <c r="H23" s="229">
        <v>50.57</v>
      </c>
      <c r="I23" s="229">
        <v>55.98</v>
      </c>
      <c r="J23" s="202">
        <f t="shared" si="0"/>
        <v>49.15</v>
      </c>
    </row>
    <row r="24" spans="1:10" x14ac:dyDescent="0.2">
      <c r="A24" s="4"/>
      <c r="B24" s="4"/>
      <c r="C24" s="4"/>
      <c r="D24" s="4"/>
      <c r="E24" s="190">
        <f>SUM(E19:E23)</f>
        <v>106.77</v>
      </c>
      <c r="G24" s="201"/>
      <c r="H24" s="201"/>
      <c r="I24" s="201"/>
      <c r="J24" s="201"/>
    </row>
    <row r="25" spans="1:10" ht="16.5" customHeight="1" x14ac:dyDescent="0.2">
      <c r="A25" s="110" t="s">
        <v>192</v>
      </c>
      <c r="B25" s="110"/>
      <c r="C25" s="111"/>
      <c r="D25" s="111"/>
      <c r="E25" s="112"/>
      <c r="G25" s="201"/>
      <c r="H25" s="201"/>
      <c r="I25" s="201"/>
      <c r="J25" s="201"/>
    </row>
    <row r="26" spans="1:10" ht="24" x14ac:dyDescent="0.2">
      <c r="A26" s="113"/>
      <c r="B26" s="104" t="s">
        <v>185</v>
      </c>
      <c r="C26" s="104" t="s">
        <v>186</v>
      </c>
      <c r="D26" s="105" t="s">
        <v>177</v>
      </c>
      <c r="E26" s="114" t="s">
        <v>178</v>
      </c>
      <c r="G26" s="201"/>
      <c r="H26" s="201"/>
      <c r="I26" s="201"/>
      <c r="J26" s="201"/>
    </row>
    <row r="27" spans="1:10" x14ac:dyDescent="0.2">
      <c r="A27" s="115" t="s">
        <v>193</v>
      </c>
      <c r="B27" s="268">
        <v>2</v>
      </c>
      <c r="C27" s="116">
        <v>6</v>
      </c>
      <c r="D27" s="246">
        <f>J27</f>
        <v>142.63</v>
      </c>
      <c r="E27" s="193">
        <f>ROUND(((B27*D27)/C27),2)</f>
        <v>47.54</v>
      </c>
      <c r="G27" s="229">
        <v>119.9</v>
      </c>
      <c r="H27" s="229">
        <v>169</v>
      </c>
      <c r="I27" s="229">
        <v>139</v>
      </c>
      <c r="J27" s="202">
        <f>ROUND((IF(AND(G27="",H27="",I27="")=TRUE,0,AVERAGE(G27:I27))),2)</f>
        <v>142.63</v>
      </c>
    </row>
    <row r="28" spans="1:10" x14ac:dyDescent="0.2">
      <c r="A28" s="118" t="s">
        <v>194</v>
      </c>
      <c r="B28" s="119">
        <v>2</v>
      </c>
      <c r="C28" s="120">
        <v>6</v>
      </c>
      <c r="D28" s="246">
        <f>J28</f>
        <v>63.53</v>
      </c>
      <c r="E28" s="192">
        <f>ROUND(((B28*D28)/C28),2)</f>
        <v>21.18</v>
      </c>
      <c r="G28" s="276">
        <v>71.7</v>
      </c>
      <c r="H28" s="276">
        <v>54</v>
      </c>
      <c r="I28" s="276">
        <v>64.900000000000006</v>
      </c>
      <c r="J28" s="203">
        <f>ROUND((IF(AND(G28="",H28="",I28="")=TRUE,0,AVERAGE(G28:I28))),2)</f>
        <v>63.53</v>
      </c>
    </row>
    <row r="29" spans="1:10" x14ac:dyDescent="0.2">
      <c r="A29" s="115" t="s">
        <v>195</v>
      </c>
      <c r="B29" s="268">
        <v>2</v>
      </c>
      <c r="C29" s="116">
        <v>6</v>
      </c>
      <c r="D29" s="246">
        <f>J29</f>
        <v>63</v>
      </c>
      <c r="E29" s="193">
        <f>ROUND(((B29*D29)/C29),2)</f>
        <v>21</v>
      </c>
      <c r="G29" s="229">
        <v>64</v>
      </c>
      <c r="H29" s="229">
        <v>65</v>
      </c>
      <c r="I29" s="229">
        <v>59.99</v>
      </c>
      <c r="J29" s="202">
        <f t="shared" ref="J29:J31" si="1">ROUND((IF(AND(G29="",H29="",I29="")=TRUE,0,AVERAGE(G29:I29))),2)</f>
        <v>63</v>
      </c>
    </row>
    <row r="30" spans="1:10" x14ac:dyDescent="0.2">
      <c r="A30" s="118" t="s">
        <v>196</v>
      </c>
      <c r="B30" s="119">
        <v>2</v>
      </c>
      <c r="C30" s="120">
        <v>6</v>
      </c>
      <c r="D30" s="246">
        <f>J30</f>
        <v>68.3</v>
      </c>
      <c r="E30" s="192">
        <f>ROUND(((B30*D30)/C30),2)</f>
        <v>22.77</v>
      </c>
      <c r="G30" s="276">
        <v>62</v>
      </c>
      <c r="H30" s="276">
        <v>78</v>
      </c>
      <c r="I30" s="276">
        <v>64.900000000000006</v>
      </c>
      <c r="J30" s="203">
        <f t="shared" si="1"/>
        <v>68.3</v>
      </c>
    </row>
    <row r="31" spans="1:10" x14ac:dyDescent="0.2">
      <c r="A31" s="115" t="s">
        <v>197</v>
      </c>
      <c r="B31" s="268">
        <v>2</v>
      </c>
      <c r="C31" s="116">
        <v>6</v>
      </c>
      <c r="D31" s="246">
        <f>J31</f>
        <v>76.87</v>
      </c>
      <c r="E31" s="193">
        <f>ROUND(((B31*D31)/C31),2)</f>
        <v>25.62</v>
      </c>
      <c r="G31" s="229">
        <v>75</v>
      </c>
      <c r="H31" s="229">
        <v>75.7</v>
      </c>
      <c r="I31" s="229">
        <v>79.900000000000006</v>
      </c>
      <c r="J31" s="202">
        <f t="shared" si="1"/>
        <v>76.87</v>
      </c>
    </row>
    <row r="32" spans="1:10" x14ac:dyDescent="0.2">
      <c r="A32" s="4"/>
      <c r="B32" s="4"/>
      <c r="C32" s="4"/>
      <c r="D32" s="4"/>
      <c r="E32" s="190">
        <f>SUM(E27:E31)</f>
        <v>138.10999999999999</v>
      </c>
      <c r="G32" s="201"/>
      <c r="H32" s="201"/>
      <c r="I32" s="201"/>
      <c r="J32" s="201"/>
    </row>
    <row r="33" spans="1:10" ht="16.5" customHeight="1" x14ac:dyDescent="0.2">
      <c r="A33" s="110" t="s">
        <v>198</v>
      </c>
      <c r="B33" s="110"/>
      <c r="C33" s="111"/>
      <c r="D33" s="111"/>
      <c r="E33" s="112"/>
      <c r="G33" s="201"/>
      <c r="H33" s="201"/>
      <c r="I33" s="201"/>
      <c r="J33" s="201"/>
    </row>
    <row r="34" spans="1:10" ht="24" x14ac:dyDescent="0.2">
      <c r="A34" s="113"/>
      <c r="B34" s="104" t="s">
        <v>185</v>
      </c>
      <c r="C34" s="104" t="s">
        <v>186</v>
      </c>
      <c r="D34" s="105" t="s">
        <v>177</v>
      </c>
      <c r="E34" s="114" t="s">
        <v>178</v>
      </c>
      <c r="G34" s="201"/>
      <c r="H34" s="201"/>
      <c r="I34" s="201"/>
      <c r="J34" s="201"/>
    </row>
    <row r="35" spans="1:10" x14ac:dyDescent="0.2">
      <c r="A35" s="115" t="s">
        <v>187</v>
      </c>
      <c r="B35" s="268">
        <v>3</v>
      </c>
      <c r="C35" s="116">
        <v>6</v>
      </c>
      <c r="D35" s="246">
        <f>J35</f>
        <v>57.4</v>
      </c>
      <c r="E35" s="193">
        <f>ROUND(((B35*D35)/C35),2)</f>
        <v>28.7</v>
      </c>
      <c r="G35" s="229">
        <v>64.25</v>
      </c>
      <c r="H35" s="229">
        <v>44.16</v>
      </c>
      <c r="I35" s="229">
        <v>63.8</v>
      </c>
      <c r="J35" s="202">
        <f>ROUND((IF(AND(G35="",H35="",I35="")=TRUE,0,AVERAGE(G35:I35))),2)</f>
        <v>57.4</v>
      </c>
    </row>
    <row r="36" spans="1:10" x14ac:dyDescent="0.2">
      <c r="A36" s="118" t="s">
        <v>199</v>
      </c>
      <c r="B36" s="119">
        <v>3</v>
      </c>
      <c r="C36" s="120">
        <v>6</v>
      </c>
      <c r="D36" s="246">
        <f>J36</f>
        <v>44.06</v>
      </c>
      <c r="E36" s="192">
        <f>ROUND(((B36*D36)/C36),2)</f>
        <v>22.03</v>
      </c>
      <c r="G36" s="276">
        <v>49.99</v>
      </c>
      <c r="H36" s="276">
        <v>44.19</v>
      </c>
      <c r="I36" s="276">
        <v>37.99</v>
      </c>
      <c r="J36" s="203">
        <f>ROUND((IF(AND(G36="",H36="",I36="")=TRUE,0,AVERAGE(G36:I36))),2)</f>
        <v>44.06</v>
      </c>
    </row>
    <row r="37" spans="1:10" x14ac:dyDescent="0.2">
      <c r="A37" s="115" t="s">
        <v>200</v>
      </c>
      <c r="B37" s="268">
        <v>3</v>
      </c>
      <c r="C37" s="116">
        <v>6</v>
      </c>
      <c r="D37" s="246">
        <f>J37</f>
        <v>45.33</v>
      </c>
      <c r="E37" s="193">
        <f>ROUND(((B37*D37)/C37),2)</f>
        <v>22.67</v>
      </c>
      <c r="G37" s="229">
        <v>37.880000000000003</v>
      </c>
      <c r="H37" s="229">
        <v>49.9</v>
      </c>
      <c r="I37" s="229">
        <v>48.2</v>
      </c>
      <c r="J37" s="202">
        <f t="shared" ref="J37:J39" si="2">ROUND((IF(AND(G37="",H37="",I37="")=TRUE,0,AVERAGE(G37:I37))),2)</f>
        <v>45.33</v>
      </c>
    </row>
    <row r="38" spans="1:10" x14ac:dyDescent="0.2">
      <c r="A38" s="118" t="s">
        <v>201</v>
      </c>
      <c r="B38" s="119">
        <v>2</v>
      </c>
      <c r="C38" s="120">
        <v>6</v>
      </c>
      <c r="D38" s="246">
        <f>J38</f>
        <v>163.86</v>
      </c>
      <c r="E38" s="192">
        <f>ROUND(((B38*D38)/C38),2)</f>
        <v>54.62</v>
      </c>
      <c r="G38" s="276">
        <v>181.7</v>
      </c>
      <c r="H38" s="276">
        <v>129.9</v>
      </c>
      <c r="I38" s="276">
        <v>179.99</v>
      </c>
      <c r="J38" s="203">
        <f t="shared" si="2"/>
        <v>163.86</v>
      </c>
    </row>
    <row r="39" spans="1:10" ht="25.5" customHeight="1" x14ac:dyDescent="0.2">
      <c r="A39" s="115" t="s">
        <v>202</v>
      </c>
      <c r="B39" s="268">
        <v>2</v>
      </c>
      <c r="C39" s="116">
        <v>6</v>
      </c>
      <c r="D39" s="246">
        <f>J39</f>
        <v>49.15</v>
      </c>
      <c r="E39" s="193">
        <f>ROUND(((B39*D39)/C39),2)</f>
        <v>16.38</v>
      </c>
      <c r="G39" s="229">
        <v>40.89</v>
      </c>
      <c r="H39" s="229">
        <v>50.57</v>
      </c>
      <c r="I39" s="229">
        <v>55.98</v>
      </c>
      <c r="J39" s="202">
        <f t="shared" si="2"/>
        <v>49.15</v>
      </c>
    </row>
    <row r="40" spans="1:10" x14ac:dyDescent="0.2">
      <c r="A40" s="4"/>
      <c r="B40" s="4"/>
      <c r="C40" s="4"/>
      <c r="D40" s="4"/>
      <c r="E40" s="190">
        <f>SUM(E35:E39)</f>
        <v>144.4</v>
      </c>
      <c r="G40" s="201"/>
      <c r="H40" s="201"/>
      <c r="I40" s="201"/>
      <c r="J40" s="201"/>
    </row>
    <row r="41" spans="1:10" ht="25.5" customHeight="1" x14ac:dyDescent="0.25">
      <c r="A41" s="346" t="s">
        <v>203</v>
      </c>
      <c r="B41" s="346"/>
      <c r="C41" s="346"/>
      <c r="D41" s="346"/>
      <c r="E41" s="346"/>
      <c r="G41" s="201"/>
      <c r="H41" s="201"/>
      <c r="I41" s="201"/>
      <c r="J41" s="201"/>
    </row>
    <row r="42" spans="1:10" ht="16.5" customHeight="1" x14ac:dyDescent="0.2">
      <c r="A42" s="124" t="s">
        <v>184</v>
      </c>
      <c r="B42" s="125"/>
      <c r="C42" s="126"/>
      <c r="D42" s="126"/>
      <c r="E42" s="127"/>
      <c r="G42" s="201"/>
      <c r="H42" s="201"/>
      <c r="I42" s="201"/>
      <c r="J42" s="201"/>
    </row>
    <row r="43" spans="1:10" s="197" customFormat="1" ht="24" x14ac:dyDescent="0.2">
      <c r="A43" s="122"/>
      <c r="B43" s="123" t="s">
        <v>185</v>
      </c>
      <c r="C43" s="123" t="s">
        <v>186</v>
      </c>
      <c r="D43" s="105" t="s">
        <v>177</v>
      </c>
      <c r="E43" s="123" t="s">
        <v>178</v>
      </c>
      <c r="G43" s="206"/>
      <c r="H43" s="206"/>
      <c r="I43" s="206"/>
      <c r="J43" s="206"/>
    </row>
    <row r="44" spans="1:10" x14ac:dyDescent="0.2">
      <c r="A44" s="115" t="s">
        <v>187</v>
      </c>
      <c r="B44" s="268">
        <f>B19</f>
        <v>3</v>
      </c>
      <c r="C44" s="116">
        <v>3</v>
      </c>
      <c r="D44" s="117">
        <f>D19</f>
        <v>57.4</v>
      </c>
      <c r="E44" s="191">
        <f>ROUND(((B44*D44)/C44),2)</f>
        <v>57.4</v>
      </c>
      <c r="G44" s="37"/>
      <c r="H44" s="37"/>
      <c r="I44" s="37"/>
      <c r="J44" s="205"/>
    </row>
    <row r="45" spans="1:10" x14ac:dyDescent="0.2">
      <c r="A45" s="118" t="s">
        <v>188</v>
      </c>
      <c r="B45" s="119">
        <f>B20</f>
        <v>3</v>
      </c>
      <c r="C45" s="120">
        <v>3</v>
      </c>
      <c r="D45" s="121">
        <f>D20</f>
        <v>33</v>
      </c>
      <c r="E45" s="192">
        <f>ROUND(((B45*D45)/C45),2)</f>
        <v>33</v>
      </c>
      <c r="G45" s="37"/>
      <c r="H45" s="37"/>
      <c r="I45" s="37"/>
      <c r="J45" s="205"/>
    </row>
    <row r="46" spans="1:10" x14ac:dyDescent="0.2">
      <c r="A46" s="115" t="s">
        <v>189</v>
      </c>
      <c r="B46" s="268">
        <f>B21</f>
        <v>3</v>
      </c>
      <c r="C46" s="116">
        <v>3</v>
      </c>
      <c r="D46" s="117">
        <f>D21</f>
        <v>35.75</v>
      </c>
      <c r="E46" s="191">
        <f>ROUND(((B46*D46)/C46),2)</f>
        <v>35.75</v>
      </c>
      <c r="G46" s="37"/>
      <c r="H46" s="37"/>
      <c r="I46" s="37"/>
      <c r="J46" s="205"/>
    </row>
    <row r="47" spans="1:10" x14ac:dyDescent="0.2">
      <c r="A47" s="118" t="s">
        <v>190</v>
      </c>
      <c r="B47" s="119">
        <f>B22</f>
        <v>1</v>
      </c>
      <c r="C47" s="120">
        <v>3</v>
      </c>
      <c r="D47" s="121">
        <f>D22</f>
        <v>163.86</v>
      </c>
      <c r="E47" s="192">
        <f>ROUND(((B47*D47)/C47),2)</f>
        <v>54.62</v>
      </c>
      <c r="G47" s="37"/>
      <c r="H47" s="37"/>
      <c r="I47" s="37"/>
      <c r="J47" s="205"/>
    </row>
    <row r="48" spans="1:10" ht="25.5" x14ac:dyDescent="0.2">
      <c r="A48" s="115" t="s">
        <v>191</v>
      </c>
      <c r="B48" s="268">
        <f>B23</f>
        <v>2</v>
      </c>
      <c r="C48" s="116">
        <v>3</v>
      </c>
      <c r="D48" s="117">
        <f>D23</f>
        <v>49.15</v>
      </c>
      <c r="E48" s="191">
        <f>ROUND(((B48*D48)/C48),2)</f>
        <v>32.770000000000003</v>
      </c>
      <c r="G48" s="37"/>
      <c r="H48" s="37"/>
      <c r="I48" s="37"/>
      <c r="J48" s="205"/>
    </row>
    <row r="49" spans="1:10" x14ac:dyDescent="0.2">
      <c r="A49" s="128"/>
      <c r="B49" s="100"/>
      <c r="C49" s="129"/>
      <c r="D49" s="4"/>
      <c r="E49" s="190">
        <f>SUM(E44:E48)</f>
        <v>213.54000000000002</v>
      </c>
      <c r="G49" s="204"/>
      <c r="H49" s="204"/>
      <c r="I49" s="204"/>
      <c r="J49" s="204"/>
    </row>
    <row r="50" spans="1:10" x14ac:dyDescent="0.2">
      <c r="A50" s="130" t="s">
        <v>204</v>
      </c>
      <c r="B50" s="38"/>
      <c r="C50" s="38"/>
      <c r="D50" s="38"/>
      <c r="E50" s="38"/>
      <c r="G50" s="201"/>
      <c r="H50" s="201"/>
      <c r="I50" s="201"/>
      <c r="J50" s="201"/>
    </row>
  </sheetData>
  <sheetProtection password="F385" sheet="1" objects="1" scenarios="1"/>
  <mergeCells count="9">
    <mergeCell ref="A11:J11"/>
    <mergeCell ref="A12:E12"/>
    <mergeCell ref="G13:J13"/>
    <mergeCell ref="A41:E41"/>
    <mergeCell ref="A1:J1"/>
    <mergeCell ref="A2:J2"/>
    <mergeCell ref="A3:J3"/>
    <mergeCell ref="A8:J8"/>
    <mergeCell ref="A9:J9"/>
  </mergeCells>
  <printOptions horizontalCentered="1"/>
  <pageMargins left="0.19685039370078741" right="0.19685039370078741" top="0.7" bottom="0.39370078740157483" header="0.19685039370078741" footer="0.15748031496062992"/>
  <pageSetup paperSize="9" scale="68" firstPageNumber="0" orientation="portrait" horizontalDpi="300" verticalDpi="300" r:id="rId1"/>
  <headerFooter>
    <oddHeader>&amp;C&amp;G&amp;R&amp;8&amp;P</oddHeader>
    <oddFooter>&amp;L&amp;8&amp;G
   &amp;"Arial,Negrito"&amp;K08-024SCCAT/CFIC/SECOFC</oddFooter>
  </headerFooter>
  <drawing r:id="rId2"/>
  <legacyDrawing r:id="rId3"/>
  <legacyDrawingHF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sheetPr>
  <dimension ref="A1:AMJ70"/>
  <sheetViews>
    <sheetView showGridLines="0" view="pageBreakPreview" zoomScaleNormal="100" workbookViewId="0">
      <selection activeCell="L18" sqref="L18"/>
    </sheetView>
  </sheetViews>
  <sheetFormatPr defaultRowHeight="12.75" x14ac:dyDescent="0.2"/>
  <cols>
    <col min="1" max="1" width="36.5703125" style="132" customWidth="1"/>
    <col min="2" max="8" width="14.7109375" style="131" customWidth="1"/>
    <col min="9" max="9" width="14.140625" style="131" customWidth="1"/>
    <col min="10" max="13" width="17.140625" style="131" customWidth="1"/>
    <col min="14" max="14" width="19.85546875" style="131" customWidth="1"/>
    <col min="15" max="15" width="17.140625" style="131" customWidth="1"/>
    <col min="16" max="16" width="34.28515625" style="131" customWidth="1"/>
    <col min="17" max="17" width="17.7109375" style="131" customWidth="1"/>
    <col min="18" max="18" width="13.42578125" style="131" customWidth="1"/>
    <col min="19" max="20" width="11.42578125" style="131" customWidth="1"/>
    <col min="21" max="21" width="16.5703125" style="131" customWidth="1"/>
    <col min="22" max="1024" width="11.42578125" style="131" customWidth="1"/>
  </cols>
  <sheetData>
    <row r="1" spans="1:17" ht="18" x14ac:dyDescent="0.25">
      <c r="A1" s="352" t="str">
        <f>'Carreg, Recep e Enc '!A1:R1</f>
        <v>TRIBUNAL REGIONAL ELEITORAL DO PARANÁ</v>
      </c>
      <c r="B1" s="352"/>
      <c r="C1" s="352"/>
      <c r="D1" s="352"/>
      <c r="E1" s="352"/>
      <c r="F1" s="352"/>
      <c r="G1" s="352"/>
      <c r="H1" s="352"/>
    </row>
    <row r="2" spans="1:17" s="133" customFormat="1" ht="15" customHeight="1" x14ac:dyDescent="0.2">
      <c r="A2" s="353" t="str">
        <f>'Carreg, Recep e Enc '!A2:R2</f>
        <v>Planilha de Custos e Formação de Preços - Estimativa TRE-PR</v>
      </c>
      <c r="B2" s="353"/>
      <c r="C2" s="353"/>
      <c r="D2" s="353"/>
      <c r="E2" s="353"/>
      <c r="F2" s="353"/>
      <c r="G2" s="353"/>
      <c r="H2" s="353"/>
    </row>
    <row r="3" spans="1:17" ht="15" customHeight="1" x14ac:dyDescent="0.2">
      <c r="A3" s="354" t="str">
        <f>'Carreg, Recep e Enc '!A3:R3</f>
        <v>Serviços de Carregador, Recepcionista e Encarregado</v>
      </c>
      <c r="B3" s="354"/>
      <c r="C3" s="354"/>
      <c r="D3" s="354"/>
      <c r="E3" s="354"/>
      <c r="F3" s="354"/>
      <c r="G3" s="354"/>
      <c r="H3" s="354"/>
    </row>
    <row r="4" spans="1:17" ht="15" customHeight="1" thickBot="1" x14ac:dyDescent="0.25">
      <c r="A4" s="274"/>
      <c r="B4" s="274"/>
      <c r="C4" s="274"/>
      <c r="D4" s="274"/>
      <c r="E4" s="274"/>
      <c r="F4" s="274"/>
      <c r="G4" s="274"/>
      <c r="H4" s="274"/>
    </row>
    <row r="5" spans="1:17" ht="15" customHeight="1" x14ac:dyDescent="0.2">
      <c r="A5" s="355" t="str">
        <f>'Carreg, Recep e Enc '!A9:R9</f>
        <v>Empresa</v>
      </c>
      <c r="B5" s="356"/>
      <c r="C5" s="356"/>
      <c r="D5" s="356"/>
      <c r="E5" s="356"/>
      <c r="F5" s="356"/>
      <c r="G5" s="356"/>
      <c r="H5" s="357"/>
    </row>
    <row r="6" spans="1:17" ht="15" customHeight="1" thickBot="1" x14ac:dyDescent="0.25">
      <c r="A6" s="358" t="str">
        <f>'Carreg, Recep e Enc '!A10:R10</f>
        <v>CNPJ</v>
      </c>
      <c r="B6" s="359"/>
      <c r="C6" s="359"/>
      <c r="D6" s="359"/>
      <c r="E6" s="359"/>
      <c r="F6" s="359"/>
      <c r="G6" s="359"/>
      <c r="H6" s="360"/>
    </row>
    <row r="7" spans="1:17" ht="15" customHeight="1" thickBot="1" x14ac:dyDescent="0.25">
      <c r="A7" s="361"/>
      <c r="B7" s="361"/>
      <c r="C7" s="361"/>
      <c r="D7" s="361"/>
      <c r="E7" s="361"/>
      <c r="F7" s="361"/>
      <c r="G7" s="361"/>
      <c r="H7" s="361"/>
    </row>
    <row r="8" spans="1:17" ht="25.5" customHeight="1" x14ac:dyDescent="0.2">
      <c r="A8" s="332" t="s">
        <v>205</v>
      </c>
      <c r="B8" s="332"/>
      <c r="C8" s="332"/>
      <c r="D8" s="332"/>
      <c r="E8" s="332"/>
      <c r="F8" s="332"/>
      <c r="G8" s="332"/>
      <c r="H8" s="332"/>
    </row>
    <row r="9" spans="1:17" ht="15" customHeight="1" x14ac:dyDescent="0.2">
      <c r="A9" s="135"/>
      <c r="B9" s="134"/>
      <c r="C9" s="134"/>
      <c r="D9" s="134"/>
      <c r="E9" s="134"/>
      <c r="F9" s="134"/>
      <c r="G9" s="134"/>
      <c r="H9" s="134"/>
    </row>
    <row r="10" spans="1:17" ht="24.75" customHeight="1" x14ac:dyDescent="0.2">
      <c r="A10" s="136" t="s">
        <v>206</v>
      </c>
      <c r="B10" s="137" t="s">
        <v>207</v>
      </c>
      <c r="C10" s="138"/>
      <c r="D10" s="134"/>
      <c r="E10" s="134"/>
      <c r="F10" s="134"/>
      <c r="G10" s="134"/>
      <c r="H10" s="134"/>
    </row>
    <row r="11" spans="1:17" ht="15" customHeight="1" x14ac:dyDescent="0.2">
      <c r="A11" s="139" t="str">
        <f>'Carreg, Recep e Enc '!A17</f>
        <v>Carregadores (CBO: 7832-15) - 32:30h</v>
      </c>
      <c r="B11" s="140">
        <v>32.5</v>
      </c>
      <c r="C11" s="141"/>
      <c r="D11" s="134"/>
      <c r="E11" s="134"/>
      <c r="F11" s="134"/>
      <c r="G11" s="134"/>
      <c r="H11" s="134"/>
    </row>
    <row r="12" spans="1:17" ht="15" customHeight="1" x14ac:dyDescent="0.2">
      <c r="A12" s="142" t="str">
        <f>'Carreg, Recep e Enc '!A18</f>
        <v>Recepcionistas (CBO: 4221-05) - 35h</v>
      </c>
      <c r="B12" s="143">
        <v>35</v>
      </c>
      <c r="C12" s="141"/>
      <c r="D12" s="134"/>
      <c r="E12" s="134"/>
      <c r="F12" s="134"/>
      <c r="G12" s="134"/>
      <c r="H12" s="134"/>
    </row>
    <row r="13" spans="1:17" ht="15" customHeight="1" x14ac:dyDescent="0.2">
      <c r="A13" s="247" t="str">
        <f>'Carreg, Recep e Enc '!A19</f>
        <v>Encarregado (CBO: 4101-05) – 32:30h</v>
      </c>
      <c r="B13" s="248">
        <v>32.5</v>
      </c>
      <c r="C13" s="141"/>
      <c r="D13" s="134"/>
      <c r="E13" s="134"/>
      <c r="F13" s="134"/>
      <c r="G13" s="134"/>
      <c r="H13" s="134"/>
    </row>
    <row r="14" spans="1:17" s="148" customFormat="1" ht="25.5" customHeight="1" x14ac:dyDescent="0.25">
      <c r="A14" s="345" t="s">
        <v>254</v>
      </c>
      <c r="B14" s="345"/>
      <c r="C14" s="345"/>
      <c r="D14" s="345"/>
      <c r="E14" s="345"/>
      <c r="F14" s="345"/>
      <c r="G14" s="345"/>
      <c r="H14" s="345"/>
      <c r="I14" s="144"/>
      <c r="J14" s="145"/>
      <c r="K14" s="145"/>
      <c r="L14" s="145"/>
      <c r="M14" s="146"/>
      <c r="N14" s="145"/>
      <c r="O14" s="145"/>
      <c r="P14" s="147"/>
    </row>
    <row r="15" spans="1:17" ht="64.5" customHeight="1" x14ac:dyDescent="0.2">
      <c r="A15" s="362" t="s">
        <v>206</v>
      </c>
      <c r="B15" s="363" t="s">
        <v>25</v>
      </c>
      <c r="C15" s="364" t="s">
        <v>208</v>
      </c>
      <c r="D15" s="149" t="s">
        <v>209</v>
      </c>
      <c r="E15" s="149" t="s">
        <v>210</v>
      </c>
      <c r="F15" s="365" t="s">
        <v>211</v>
      </c>
      <c r="G15" s="149" t="s">
        <v>158</v>
      </c>
      <c r="H15" s="364" t="s">
        <v>212</v>
      </c>
      <c r="I15" s="150"/>
      <c r="J15" s="151"/>
      <c r="K15" s="151"/>
      <c r="L15" s="151"/>
      <c r="M15" s="151"/>
      <c r="N15" s="151"/>
      <c r="O15" s="151"/>
      <c r="P15" s="152"/>
      <c r="Q15" s="152"/>
    </row>
    <row r="16" spans="1:17" ht="15" customHeight="1" thickTop="1" x14ac:dyDescent="0.2">
      <c r="A16" s="362"/>
      <c r="B16" s="363"/>
      <c r="C16" s="364"/>
      <c r="D16" s="153">
        <v>0.2</v>
      </c>
      <c r="E16" s="153">
        <f>'Encargos Sociais'!$F$23/100</f>
        <v>0.36799999999999999</v>
      </c>
      <c r="F16" s="365"/>
      <c r="G16" s="153">
        <f>CITL!$B$18</f>
        <v>0.30445795339412363</v>
      </c>
      <c r="H16" s="364"/>
      <c r="I16" s="150"/>
      <c r="J16" s="151"/>
      <c r="K16" s="151"/>
      <c r="L16" s="151"/>
      <c r="M16" s="151"/>
      <c r="N16" s="151"/>
      <c r="O16" s="151"/>
      <c r="P16" s="152"/>
      <c r="Q16" s="152"/>
    </row>
    <row r="17" spans="1:17" ht="15" customHeight="1" x14ac:dyDescent="0.2">
      <c r="A17" s="139" t="str">
        <f>A11</f>
        <v>Carregadores (CBO: 7832-15) - 32:30h</v>
      </c>
      <c r="B17" s="258">
        <f>'Carreg, Recep e Enc '!B17</f>
        <v>938.78</v>
      </c>
      <c r="C17" s="171">
        <f>($B$17/($B$11*5))*1.5</f>
        <v>8.6656615384615385</v>
      </c>
      <c r="D17" s="171">
        <f>C17*$D$16</f>
        <v>1.7331323076923077</v>
      </c>
      <c r="E17" s="173">
        <f>(C17+D17)*$E$16</f>
        <v>3.8267561353846156</v>
      </c>
      <c r="F17" s="173">
        <f>C17+D17+E17</f>
        <v>14.225549981538462</v>
      </c>
      <c r="G17" s="173">
        <f>F17*$G$16</f>
        <v>4.3310818332850136</v>
      </c>
      <c r="H17" s="252">
        <f>ROUND((F17+G17),2)</f>
        <v>18.559999999999999</v>
      </c>
      <c r="I17" s="150"/>
      <c r="N17" s="151"/>
      <c r="O17" s="151"/>
      <c r="P17" s="152"/>
      <c r="Q17" s="152"/>
    </row>
    <row r="18" spans="1:17" ht="15" customHeight="1" x14ac:dyDescent="0.2">
      <c r="A18" s="142" t="str">
        <f>A12</f>
        <v>Recepcionistas (CBO: 4221-05) - 35h</v>
      </c>
      <c r="B18" s="259">
        <f>'Carreg, Recep e Enc '!B18</f>
        <v>943.53</v>
      </c>
      <c r="C18" s="172">
        <f>($B$18/($B$12*5))*1.5</f>
        <v>8.0873999999999988</v>
      </c>
      <c r="D18" s="172">
        <f>C18*$D$16</f>
        <v>1.6174799999999998</v>
      </c>
      <c r="E18" s="174">
        <f>(C18+D18)*$E$16</f>
        <v>3.5713958399999997</v>
      </c>
      <c r="F18" s="174">
        <f>C18+D18+E18</f>
        <v>13.276275839999998</v>
      </c>
      <c r="G18" s="174">
        <f>F18*$G$16</f>
        <v>4.042067770942249</v>
      </c>
      <c r="H18" s="253">
        <f>ROUND((F18+G18),2)</f>
        <v>17.32</v>
      </c>
      <c r="I18" s="150"/>
      <c r="N18" s="151"/>
      <c r="O18" s="151"/>
      <c r="P18" s="152"/>
      <c r="Q18" s="152"/>
    </row>
    <row r="19" spans="1:17" ht="15" customHeight="1" x14ac:dyDescent="0.2">
      <c r="A19" s="247" t="str">
        <f>A13</f>
        <v>Encarregado (CBO: 4101-05) – 32:30h</v>
      </c>
      <c r="B19" s="260">
        <f>'Carreg, Recep e Enc '!B19</f>
        <v>1115.97</v>
      </c>
      <c r="C19" s="249">
        <f>($B$19/($B$13*5))*1.5</f>
        <v>10.301261538461539</v>
      </c>
      <c r="D19" s="249">
        <f>C19*$D$16</f>
        <v>2.0602523076923078</v>
      </c>
      <c r="E19" s="250">
        <f>(C19+D19)*$E$16</f>
        <v>4.5490370953846151</v>
      </c>
      <c r="F19" s="250">
        <f>C19+D19+E19</f>
        <v>16.91055094153846</v>
      </c>
      <c r="G19" s="250">
        <f>F19*$G$16</f>
        <v>5.1485517304278696</v>
      </c>
      <c r="H19" s="254">
        <f>ROUND((F19+G19),2)</f>
        <v>22.06</v>
      </c>
      <c r="I19" s="150"/>
      <c r="J19" s="151"/>
      <c r="K19" s="151"/>
      <c r="L19" s="151"/>
      <c r="M19" s="151"/>
      <c r="N19" s="151"/>
      <c r="O19" s="151"/>
      <c r="P19" s="152"/>
      <c r="Q19" s="152"/>
    </row>
    <row r="20" spans="1:17" s="148" customFormat="1" ht="25.5" customHeight="1" thickBot="1" x14ac:dyDescent="0.3">
      <c r="A20" s="345" t="s">
        <v>255</v>
      </c>
      <c r="B20" s="345"/>
      <c r="C20" s="345"/>
      <c r="D20" s="345"/>
      <c r="E20" s="345"/>
      <c r="F20" s="345"/>
      <c r="G20" s="345"/>
      <c r="H20" s="345"/>
      <c r="I20" s="144"/>
      <c r="J20" s="145"/>
      <c r="K20" s="145"/>
      <c r="L20" s="145"/>
      <c r="M20" s="145"/>
      <c r="N20" s="145"/>
      <c r="O20" s="145"/>
      <c r="P20" s="147"/>
      <c r="Q20" s="147"/>
    </row>
    <row r="21" spans="1:17" ht="64.5" customHeight="1" x14ac:dyDescent="0.2">
      <c r="A21" s="366" t="s">
        <v>206</v>
      </c>
      <c r="B21" s="367" t="s">
        <v>25</v>
      </c>
      <c r="C21" s="364" t="s">
        <v>213</v>
      </c>
      <c r="D21" s="149" t="s">
        <v>209</v>
      </c>
      <c r="E21" s="149" t="s">
        <v>210</v>
      </c>
      <c r="F21" s="365" t="s">
        <v>211</v>
      </c>
      <c r="G21" s="149" t="s">
        <v>158</v>
      </c>
      <c r="H21" s="364" t="s">
        <v>212</v>
      </c>
      <c r="I21" s="150"/>
      <c r="J21" s="151"/>
      <c r="K21" s="151"/>
      <c r="L21" s="151"/>
      <c r="M21" s="151"/>
      <c r="N21" s="151"/>
      <c r="O21" s="151"/>
      <c r="P21" s="152"/>
      <c r="Q21" s="152"/>
    </row>
    <row r="22" spans="1:17" ht="15" customHeight="1" thickTop="1" x14ac:dyDescent="0.2">
      <c r="A22" s="366"/>
      <c r="B22" s="367"/>
      <c r="C22" s="364"/>
      <c r="D22" s="153">
        <v>0.2</v>
      </c>
      <c r="E22" s="153">
        <f>'Encargos Sociais'!$F$23/100</f>
        <v>0.36799999999999999</v>
      </c>
      <c r="F22" s="365"/>
      <c r="G22" s="153">
        <f>CITL!$B$18</f>
        <v>0.30445795339412363</v>
      </c>
      <c r="H22" s="364"/>
      <c r="I22" s="150"/>
      <c r="J22" s="151"/>
      <c r="K22" s="151"/>
      <c r="L22" s="151"/>
      <c r="M22" s="151"/>
      <c r="N22" s="151"/>
      <c r="O22" s="151"/>
      <c r="P22" s="152"/>
      <c r="Q22" s="152"/>
    </row>
    <row r="23" spans="1:17" ht="15" customHeight="1" x14ac:dyDescent="0.2">
      <c r="A23" s="139" t="str">
        <f>A11</f>
        <v>Carregadores (CBO: 7832-15) - 32:30h</v>
      </c>
      <c r="B23" s="258">
        <f>'Carreg, Recep e Enc '!B17</f>
        <v>938.78</v>
      </c>
      <c r="C23" s="171">
        <f>($B$23/($B$11*5))*2</f>
        <v>11.554215384615384</v>
      </c>
      <c r="D23" s="171">
        <f>C23*$D$22</f>
        <v>2.310843076923077</v>
      </c>
      <c r="E23" s="173">
        <f>(C23+D23)*$E$22</f>
        <v>5.1023415138461532</v>
      </c>
      <c r="F23" s="173">
        <f>C23+D23+E23</f>
        <v>18.967399975384613</v>
      </c>
      <c r="G23" s="173">
        <f>F23*$G$22</f>
        <v>5.7747757777133497</v>
      </c>
      <c r="H23" s="252">
        <f>ROUND((F23+G23),2)</f>
        <v>24.74</v>
      </c>
      <c r="I23" s="150"/>
      <c r="J23" s="151"/>
      <c r="K23" s="151"/>
      <c r="L23" s="151"/>
      <c r="M23" s="151"/>
      <c r="N23" s="151"/>
      <c r="O23" s="151"/>
      <c r="P23" s="152"/>
      <c r="Q23" s="152"/>
    </row>
    <row r="24" spans="1:17" ht="15" customHeight="1" x14ac:dyDescent="0.2">
      <c r="A24" s="142" t="str">
        <f>A12</f>
        <v>Recepcionistas (CBO: 4221-05) - 35h</v>
      </c>
      <c r="B24" s="259">
        <f>'Carreg, Recep e Enc '!B18</f>
        <v>943.53</v>
      </c>
      <c r="C24" s="172">
        <f>($B$24/($B$12*5))*2</f>
        <v>10.783199999999999</v>
      </c>
      <c r="D24" s="172">
        <f>C24*$D$22</f>
        <v>2.1566399999999999</v>
      </c>
      <c r="E24" s="174">
        <f>(C24+D24)*$E$22</f>
        <v>4.7618611199999989</v>
      </c>
      <c r="F24" s="174">
        <f>C24+D24+E24</f>
        <v>17.701701119999996</v>
      </c>
      <c r="G24" s="174">
        <f>F24*$G$22</f>
        <v>5.3894236945896647</v>
      </c>
      <c r="H24" s="253">
        <f>ROUND((F24+G24),2)</f>
        <v>23.09</v>
      </c>
      <c r="I24" s="150"/>
      <c r="J24" s="151"/>
      <c r="K24" s="151"/>
      <c r="L24" s="151"/>
      <c r="M24" s="151"/>
      <c r="N24" s="151"/>
      <c r="O24" s="151"/>
      <c r="P24" s="152"/>
      <c r="Q24" s="152"/>
    </row>
    <row r="25" spans="1:17" ht="15" customHeight="1" x14ac:dyDescent="0.2">
      <c r="A25" s="247" t="str">
        <f>A13</f>
        <v>Encarregado (CBO: 4101-05) – 32:30h</v>
      </c>
      <c r="B25" s="260">
        <f>'Carreg, Recep e Enc '!B19</f>
        <v>1115.97</v>
      </c>
      <c r="C25" s="249">
        <f>($B$25/($B$13*5))*2</f>
        <v>13.735015384615386</v>
      </c>
      <c r="D25" s="249">
        <f>C25*$D$22</f>
        <v>2.7470030769230771</v>
      </c>
      <c r="E25" s="250">
        <f>(C25+D25)*$E$22</f>
        <v>6.0653827938461538</v>
      </c>
      <c r="F25" s="250">
        <f>C25+D25+E25</f>
        <v>22.547401255384617</v>
      </c>
      <c r="G25" s="250">
        <f>F25*$G$22</f>
        <v>6.864735640570494</v>
      </c>
      <c r="H25" s="254">
        <f>ROUND((F25+G25),2)</f>
        <v>29.41</v>
      </c>
      <c r="I25" s="150"/>
      <c r="J25" s="151"/>
      <c r="K25" s="151"/>
      <c r="L25" s="151"/>
      <c r="M25" s="151"/>
      <c r="N25" s="151"/>
      <c r="O25" s="151"/>
      <c r="P25" s="152"/>
      <c r="Q25" s="152"/>
    </row>
    <row r="26" spans="1:17" s="148" customFormat="1" ht="25.5" customHeight="1" thickBot="1" x14ac:dyDescent="0.3">
      <c r="A26" s="368" t="s">
        <v>256</v>
      </c>
      <c r="B26" s="368"/>
      <c r="C26" s="368"/>
      <c r="D26" s="368"/>
      <c r="E26" s="368"/>
      <c r="F26" s="368"/>
      <c r="G26" s="368"/>
      <c r="H26" s="368"/>
      <c r="I26" s="144"/>
      <c r="J26" s="145"/>
      <c r="K26" s="145"/>
      <c r="L26" s="145"/>
      <c r="M26" s="145"/>
      <c r="N26" s="145"/>
      <c r="O26" s="145"/>
      <c r="P26" s="147"/>
      <c r="Q26" s="147"/>
    </row>
    <row r="27" spans="1:17" ht="64.5" customHeight="1" x14ac:dyDescent="0.2">
      <c r="A27" s="362" t="s">
        <v>206</v>
      </c>
      <c r="B27" s="369" t="s">
        <v>25</v>
      </c>
      <c r="C27" s="370" t="s">
        <v>214</v>
      </c>
      <c r="D27" s="273" t="s">
        <v>209</v>
      </c>
      <c r="E27" s="273" t="s">
        <v>210</v>
      </c>
      <c r="F27" s="371" t="s">
        <v>211</v>
      </c>
      <c r="G27" s="273" t="s">
        <v>158</v>
      </c>
      <c r="H27" s="370" t="s">
        <v>212</v>
      </c>
      <c r="I27" s="150"/>
      <c r="J27" s="151"/>
      <c r="K27" s="151"/>
      <c r="L27" s="151"/>
      <c r="M27" s="151"/>
      <c r="N27" s="151"/>
      <c r="O27" s="151"/>
      <c r="P27" s="152"/>
      <c r="Q27" s="152"/>
    </row>
    <row r="28" spans="1:17" ht="15" customHeight="1" x14ac:dyDescent="0.2">
      <c r="A28" s="362"/>
      <c r="B28" s="369"/>
      <c r="C28" s="370"/>
      <c r="D28" s="153">
        <v>0.2</v>
      </c>
      <c r="E28" s="153">
        <f>'Encargos Sociais'!$F$23/100</f>
        <v>0.36799999999999999</v>
      </c>
      <c r="F28" s="371"/>
      <c r="G28" s="153">
        <f>CITL!$B$18</f>
        <v>0.30445795339412363</v>
      </c>
      <c r="H28" s="370"/>
      <c r="I28" s="150"/>
      <c r="J28" s="151"/>
      <c r="K28" s="151"/>
      <c r="L28" s="151"/>
      <c r="M28" s="151"/>
      <c r="N28" s="151"/>
      <c r="O28" s="151"/>
      <c r="P28" s="152"/>
      <c r="Q28" s="152"/>
    </row>
    <row r="29" spans="1:17" ht="15" customHeight="1" x14ac:dyDescent="0.2">
      <c r="A29" s="139" t="str">
        <f>A11</f>
        <v>Carregadores (CBO: 7832-15) - 32:30h</v>
      </c>
      <c r="B29" s="258">
        <f>'Carreg, Recep e Enc '!B17</f>
        <v>938.78</v>
      </c>
      <c r="C29" s="171">
        <f>(((B29/(B11*5))*1.1428571)*1.2)*1.5</f>
        <v>11.884335378513232</v>
      </c>
      <c r="D29" s="171">
        <f>C29*$D$28</f>
        <v>2.3768670757026462</v>
      </c>
      <c r="E29" s="173">
        <f>(C29+D29)*$E$28</f>
        <v>5.2481225031514427</v>
      </c>
      <c r="F29" s="173">
        <f>C29+D29+E29</f>
        <v>19.509324957367319</v>
      </c>
      <c r="G29" s="173">
        <f>F29*$G$28</f>
        <v>5.9397691486209521</v>
      </c>
      <c r="H29" s="252">
        <f>ROUND((F29+G29),2)</f>
        <v>25.45</v>
      </c>
      <c r="I29" s="150"/>
      <c r="J29" s="151"/>
      <c r="K29" s="151"/>
      <c r="L29" s="151"/>
      <c r="M29" s="151"/>
      <c r="N29" s="151"/>
      <c r="O29" s="151"/>
      <c r="P29" s="152"/>
      <c r="Q29" s="152"/>
    </row>
    <row r="30" spans="1:17" ht="15" customHeight="1" x14ac:dyDescent="0.2">
      <c r="A30" s="142" t="str">
        <f>A12</f>
        <v>Recepcionistas (CBO: 4221-05) - 35h</v>
      </c>
      <c r="B30" s="259">
        <f>'Carreg, Recep e Enc '!B18</f>
        <v>943.53</v>
      </c>
      <c r="C30" s="172">
        <f>(((B30/(B12*5))*1.1428571)*1.2)*1.5</f>
        <v>11.091291012647998</v>
      </c>
      <c r="D30" s="172">
        <f>C30*$D$28</f>
        <v>2.2182582025295998</v>
      </c>
      <c r="E30" s="174">
        <f>(C30+D30)*$E$28</f>
        <v>4.8979141111853552</v>
      </c>
      <c r="F30" s="174">
        <f>C30+D30+E30</f>
        <v>18.207463326362952</v>
      </c>
      <c r="G30" s="174">
        <f>F30*$G$28</f>
        <v>5.5434070208430271</v>
      </c>
      <c r="H30" s="253">
        <f>ROUND((F30+G30),2)</f>
        <v>23.75</v>
      </c>
      <c r="I30" s="150"/>
      <c r="J30" s="151"/>
      <c r="K30" s="151"/>
      <c r="L30" s="151"/>
      <c r="M30" s="151"/>
      <c r="N30" s="151"/>
      <c r="O30" s="151"/>
      <c r="P30" s="152"/>
      <c r="Q30" s="152"/>
    </row>
    <row r="31" spans="1:17" ht="15" customHeight="1" x14ac:dyDescent="0.2">
      <c r="A31" s="247" t="str">
        <f>A19</f>
        <v>Encarregado (CBO: 4101-05) – 32:30h</v>
      </c>
      <c r="B31" s="260">
        <f>'Carreg, Recep e Enc '!B19</f>
        <v>1115.97</v>
      </c>
      <c r="C31" s="249">
        <f>(((B31/(B13*5))*1.1428571)*1.2)*1.5</f>
        <v>14.127443865825231</v>
      </c>
      <c r="D31" s="249">
        <f>C31*$D$28</f>
        <v>2.8254887731650467</v>
      </c>
      <c r="E31" s="250">
        <f>(C31+D31)*$E$28</f>
        <v>6.2386792111484217</v>
      </c>
      <c r="F31" s="250">
        <f>C31+D31+E31</f>
        <v>23.191611850138699</v>
      </c>
      <c r="G31" s="250">
        <f>F31*$G$28</f>
        <v>7.0608706798041334</v>
      </c>
      <c r="H31" s="254">
        <f>ROUND((F31+G31),2)</f>
        <v>30.25</v>
      </c>
      <c r="I31" s="150"/>
      <c r="J31" s="151"/>
      <c r="K31" s="151"/>
      <c r="L31" s="151"/>
      <c r="M31" s="151"/>
      <c r="N31" s="151"/>
      <c r="O31" s="151"/>
      <c r="P31" s="152"/>
      <c r="Q31" s="152"/>
    </row>
    <row r="32" spans="1:17" s="148" customFormat="1" ht="25.5" customHeight="1" thickBot="1" x14ac:dyDescent="0.3">
      <c r="A32" s="368" t="s">
        <v>257</v>
      </c>
      <c r="B32" s="368"/>
      <c r="C32" s="368"/>
      <c r="D32" s="368"/>
      <c r="E32" s="368"/>
      <c r="F32" s="368"/>
      <c r="G32" s="368"/>
      <c r="H32" s="368"/>
      <c r="I32" s="144"/>
      <c r="J32" s="145"/>
      <c r="K32" s="145"/>
      <c r="L32" s="145"/>
      <c r="M32" s="145"/>
      <c r="N32" s="145"/>
      <c r="O32" s="145"/>
      <c r="P32" s="147"/>
      <c r="Q32" s="147"/>
    </row>
    <row r="33" spans="1:18" ht="64.5" customHeight="1" x14ac:dyDescent="0.2">
      <c r="A33" s="362" t="s">
        <v>206</v>
      </c>
      <c r="B33" s="369" t="s">
        <v>25</v>
      </c>
      <c r="C33" s="370" t="s">
        <v>215</v>
      </c>
      <c r="D33" s="273" t="s">
        <v>209</v>
      </c>
      <c r="E33" s="273" t="s">
        <v>210</v>
      </c>
      <c r="F33" s="371" t="s">
        <v>211</v>
      </c>
      <c r="G33" s="273" t="s">
        <v>158</v>
      </c>
      <c r="H33" s="370" t="s">
        <v>216</v>
      </c>
      <c r="I33" s="150"/>
      <c r="J33" s="151"/>
      <c r="K33" s="151"/>
      <c r="L33" s="151"/>
      <c r="M33" s="151"/>
      <c r="N33" s="151"/>
      <c r="O33" s="151"/>
      <c r="P33" s="152"/>
      <c r="Q33" s="152"/>
    </row>
    <row r="34" spans="1:18" ht="15" customHeight="1" x14ac:dyDescent="0.2">
      <c r="A34" s="362"/>
      <c r="B34" s="369"/>
      <c r="C34" s="370"/>
      <c r="D34" s="153">
        <v>0.2</v>
      </c>
      <c r="E34" s="153">
        <f>'Encargos Sociais'!$F$23/100</f>
        <v>0.36799999999999999</v>
      </c>
      <c r="F34" s="371"/>
      <c r="G34" s="153">
        <f>CITL!$B$18</f>
        <v>0.30445795339412363</v>
      </c>
      <c r="H34" s="370"/>
      <c r="I34" s="150"/>
      <c r="J34" s="151"/>
      <c r="K34" s="151"/>
      <c r="L34" s="151"/>
      <c r="M34" s="151"/>
      <c r="N34" s="151"/>
      <c r="O34" s="151"/>
      <c r="P34" s="152"/>
      <c r="Q34" s="152"/>
    </row>
    <row r="35" spans="1:18" ht="15" customHeight="1" x14ac:dyDescent="0.2">
      <c r="A35" s="139" t="str">
        <f>A11</f>
        <v>Carregadores (CBO: 7832-15) - 32:30h</v>
      </c>
      <c r="B35" s="258">
        <f>'Carreg, Recep e Enc '!B17</f>
        <v>938.78</v>
      </c>
      <c r="C35" s="171">
        <f>(((B35/(B11*5))*1.1428571)*1.2)*2</f>
        <v>15.845780504684308</v>
      </c>
      <c r="D35" s="171">
        <f>C35*$D$34</f>
        <v>3.1691561009368616</v>
      </c>
      <c r="E35" s="173">
        <f>(C35+D35)*$E$34</f>
        <v>6.99749667086859</v>
      </c>
      <c r="F35" s="173">
        <f>C35+D35+E35</f>
        <v>26.012433276489759</v>
      </c>
      <c r="G35" s="173">
        <f>F35*$G$34</f>
        <v>7.9196921981612691</v>
      </c>
      <c r="H35" s="252">
        <f>ROUND((F35+G35),2)</f>
        <v>33.93</v>
      </c>
      <c r="I35" s="150"/>
      <c r="J35" s="151"/>
      <c r="K35" s="154"/>
      <c r="L35" s="151"/>
      <c r="M35" s="151"/>
      <c r="N35" s="151"/>
      <c r="O35" s="151"/>
      <c r="P35" s="152"/>
      <c r="Q35" s="152"/>
    </row>
    <row r="36" spans="1:18" ht="15" customHeight="1" x14ac:dyDescent="0.2">
      <c r="A36" s="142" t="str">
        <f>A12</f>
        <v>Recepcionistas (CBO: 4221-05) - 35h</v>
      </c>
      <c r="B36" s="259">
        <f>'Carreg, Recep e Enc '!B18</f>
        <v>943.53</v>
      </c>
      <c r="C36" s="172">
        <f>(((B36/(B12*5))*1.1428571)*1.2)*2</f>
        <v>14.788388016863998</v>
      </c>
      <c r="D36" s="172">
        <f>C36*$D$34</f>
        <v>2.9576776033727996</v>
      </c>
      <c r="E36" s="174">
        <f>(C36+D36)*$E$34</f>
        <v>6.5305521482471418</v>
      </c>
      <c r="F36" s="174">
        <f>C36+D36+E36</f>
        <v>24.276617768483941</v>
      </c>
      <c r="G36" s="174">
        <f>F36*$G$34</f>
        <v>7.3912093611240373</v>
      </c>
      <c r="H36" s="253">
        <f>ROUND((F36+G36),2)</f>
        <v>31.67</v>
      </c>
      <c r="I36" s="150"/>
      <c r="J36" s="151"/>
      <c r="K36" s="154"/>
      <c r="L36" s="151"/>
      <c r="M36" s="151"/>
      <c r="N36" s="151"/>
      <c r="O36" s="151"/>
      <c r="P36" s="152"/>
      <c r="Q36" s="152"/>
    </row>
    <row r="37" spans="1:18" ht="15" customHeight="1" x14ac:dyDescent="0.2">
      <c r="A37" s="247" t="str">
        <f>A19</f>
        <v>Encarregado (CBO: 4101-05) – 32:30h</v>
      </c>
      <c r="B37" s="260">
        <f>'Carreg, Recep e Enc '!B19</f>
        <v>1115.97</v>
      </c>
      <c r="C37" s="249">
        <f>(((B37/(B13*5))*1.1428571)*1.2)*2</f>
        <v>18.83659182110031</v>
      </c>
      <c r="D37" s="249">
        <f>C37*$D$34</f>
        <v>3.7673183642200621</v>
      </c>
      <c r="E37" s="250">
        <f>(C37+D37)*$E$34</f>
        <v>8.318238948197898</v>
      </c>
      <c r="F37" s="250">
        <f>C37+D37+E37</f>
        <v>30.922149133518271</v>
      </c>
      <c r="G37" s="250">
        <f>F37*$G$34</f>
        <v>9.4144942397388469</v>
      </c>
      <c r="H37" s="254">
        <f>ROUND((F37+G37),2)</f>
        <v>40.340000000000003</v>
      </c>
      <c r="I37" s="150"/>
      <c r="J37" s="151"/>
      <c r="K37" s="154"/>
      <c r="L37" s="151"/>
      <c r="M37" s="151"/>
      <c r="N37" s="151"/>
      <c r="O37" s="151"/>
      <c r="P37" s="152"/>
      <c r="Q37" s="152"/>
    </row>
    <row r="38" spans="1:18" s="148" customFormat="1" ht="25.5" customHeight="1" thickBot="1" x14ac:dyDescent="0.3">
      <c r="A38" s="372"/>
      <c r="B38" s="372"/>
      <c r="C38" s="372"/>
      <c r="D38" s="372"/>
      <c r="E38" s="372"/>
      <c r="F38" s="372"/>
      <c r="G38" s="372"/>
      <c r="H38" s="372"/>
      <c r="I38" s="145"/>
      <c r="J38" s="145"/>
      <c r="K38" s="145"/>
      <c r="L38" s="145"/>
      <c r="M38" s="145"/>
      <c r="N38" s="145"/>
      <c r="O38" s="145"/>
      <c r="P38" s="145"/>
      <c r="Q38" s="147"/>
    </row>
    <row r="39" spans="1:18" ht="25.5" customHeight="1" x14ac:dyDescent="0.2">
      <c r="A39" s="373"/>
      <c r="B39" s="373" t="s">
        <v>217</v>
      </c>
      <c r="C39" s="373"/>
      <c r="D39" s="373"/>
      <c r="E39" s="155"/>
      <c r="F39" s="373" t="s">
        <v>218</v>
      </c>
      <c r="G39" s="373"/>
      <c r="H39" s="373"/>
      <c r="I39" s="151"/>
      <c r="J39" s="151"/>
      <c r="K39" s="151"/>
      <c r="L39" s="151"/>
      <c r="M39" s="151"/>
      <c r="N39" s="151"/>
      <c r="O39" s="151"/>
      <c r="P39" s="151"/>
      <c r="Q39" s="152"/>
    </row>
    <row r="40" spans="1:18" ht="60.75" customHeight="1" x14ac:dyDescent="0.2">
      <c r="A40" s="366" t="s">
        <v>206</v>
      </c>
      <c r="B40" s="363" t="s">
        <v>219</v>
      </c>
      <c r="C40" s="272" t="s">
        <v>158</v>
      </c>
      <c r="D40" s="363" t="s">
        <v>220</v>
      </c>
      <c r="E40" s="156"/>
      <c r="F40" s="363" t="s">
        <v>219</v>
      </c>
      <c r="G40" s="272" t="s">
        <v>158</v>
      </c>
      <c r="H40" s="363" t="s">
        <v>221</v>
      </c>
      <c r="I40" s="151"/>
      <c r="J40" s="151"/>
      <c r="K40" s="151"/>
      <c r="L40" s="151"/>
      <c r="M40" s="151"/>
      <c r="N40" s="151"/>
      <c r="O40" s="151"/>
      <c r="P40" s="151"/>
      <c r="Q40" s="152"/>
    </row>
    <row r="41" spans="1:18" ht="15" customHeight="1" x14ac:dyDescent="0.2">
      <c r="A41" s="366"/>
      <c r="B41" s="363"/>
      <c r="C41" s="157">
        <f>CITL!B18</f>
        <v>0.30445795339412363</v>
      </c>
      <c r="D41" s="363"/>
      <c r="E41" s="158"/>
      <c r="F41" s="363"/>
      <c r="G41" s="157">
        <f>CITL!B18</f>
        <v>0.30445795339412363</v>
      </c>
      <c r="H41" s="363"/>
      <c r="I41" s="151"/>
      <c r="J41" s="151"/>
      <c r="K41" s="151"/>
      <c r="L41" s="151"/>
      <c r="M41" s="151"/>
      <c r="N41" s="151"/>
      <c r="O41" s="151"/>
      <c r="P41" s="151"/>
      <c r="Q41" s="152"/>
    </row>
    <row r="42" spans="1:18" ht="15" customHeight="1" x14ac:dyDescent="0.2">
      <c r="A42" s="139" t="str">
        <f>A11</f>
        <v>Carregadores (CBO: 7832-15) - 32:30h</v>
      </c>
      <c r="B42" s="255">
        <f>'Carreg, Recep e Enc '!G15*2</f>
        <v>9</v>
      </c>
      <c r="C42" s="173">
        <f>B42*$C$41</f>
        <v>2.7401215805471129</v>
      </c>
      <c r="D42" s="252">
        <f>ROUND((B42+C42),2)</f>
        <v>11.74</v>
      </c>
      <c r="E42" s="159"/>
      <c r="F42" s="175">
        <f>'Carreg, Recep e Enc '!E15/21</f>
        <v>1.0952380952380953</v>
      </c>
      <c r="G42" s="173">
        <f>F42*$G$41</f>
        <v>0.33345394895546876</v>
      </c>
      <c r="H42" s="252">
        <f>ROUND((F42+G42),2)</f>
        <v>1.43</v>
      </c>
      <c r="I42" s="151"/>
      <c r="J42" s="151"/>
      <c r="K42" s="151"/>
      <c r="L42" s="151"/>
      <c r="M42" s="151"/>
      <c r="N42" s="151"/>
      <c r="O42" s="151"/>
      <c r="P42" s="151"/>
      <c r="Q42" s="152"/>
    </row>
    <row r="43" spans="1:18" ht="15" customHeight="1" x14ac:dyDescent="0.2">
      <c r="A43" s="142" t="str">
        <f>A12</f>
        <v>Recepcionistas (CBO: 4221-05) - 35h</v>
      </c>
      <c r="B43" s="256">
        <f>'Carreg, Recep e Enc '!G15*2</f>
        <v>9</v>
      </c>
      <c r="C43" s="174">
        <f>B43*$C$41</f>
        <v>2.7401215805471129</v>
      </c>
      <c r="D43" s="253">
        <f>ROUND((B43+C43),2)</f>
        <v>11.74</v>
      </c>
      <c r="E43" s="159"/>
      <c r="F43" s="176">
        <f>'Carreg, Recep e Enc '!E15/21</f>
        <v>1.0952380952380953</v>
      </c>
      <c r="G43" s="174">
        <f>F43*$G$41</f>
        <v>0.33345394895546876</v>
      </c>
      <c r="H43" s="253">
        <f>ROUND((F43+G43),2)</f>
        <v>1.43</v>
      </c>
      <c r="I43" s="151"/>
      <c r="J43" s="151"/>
      <c r="K43" s="151"/>
      <c r="L43" s="151"/>
      <c r="M43" s="151"/>
      <c r="N43" s="151"/>
      <c r="O43" s="151"/>
      <c r="P43" s="151"/>
      <c r="Q43" s="152"/>
    </row>
    <row r="44" spans="1:18" ht="15" customHeight="1" x14ac:dyDescent="0.2">
      <c r="A44" s="247" t="str">
        <f>A13</f>
        <v>Encarregado (CBO: 4101-05) – 32:30h</v>
      </c>
      <c r="B44" s="257">
        <f>'Carreg, Recep e Enc '!G15*2</f>
        <v>9</v>
      </c>
      <c r="C44" s="250">
        <f>B44*$C$41</f>
        <v>2.7401215805471129</v>
      </c>
      <c r="D44" s="254">
        <f>ROUND((B44+C44),2)</f>
        <v>11.74</v>
      </c>
      <c r="E44" s="159"/>
      <c r="F44" s="251">
        <f>'Carreg, Recep e Enc '!E15/21</f>
        <v>1.0952380952380953</v>
      </c>
      <c r="G44" s="250">
        <f>F44*$G$41</f>
        <v>0.33345394895546876</v>
      </c>
      <c r="H44" s="254">
        <f>ROUND((F44+G44),2)</f>
        <v>1.43</v>
      </c>
      <c r="I44" s="151"/>
      <c r="J44" s="151"/>
      <c r="K44" s="151"/>
      <c r="L44" s="151"/>
      <c r="M44" s="151"/>
      <c r="N44" s="151"/>
      <c r="O44" s="151"/>
      <c r="P44" s="151"/>
      <c r="Q44" s="152"/>
    </row>
    <row r="45" spans="1:18" x14ac:dyDescent="0.2">
      <c r="A45" s="4"/>
      <c r="B45" s="4"/>
      <c r="C45" s="4"/>
      <c r="D45" s="4"/>
      <c r="E45" s="4"/>
      <c r="F45" s="4"/>
      <c r="G45" s="4"/>
      <c r="H45" s="4"/>
      <c r="I45" s="151"/>
      <c r="J45" s="151"/>
      <c r="K45" s="151"/>
      <c r="L45" s="151"/>
      <c r="M45" s="151"/>
      <c r="N45" s="151"/>
      <c r="O45" s="151"/>
      <c r="P45" s="151"/>
      <c r="Q45" s="152"/>
    </row>
    <row r="46" spans="1:18" ht="12.75" customHeight="1" x14ac:dyDescent="0.2">
      <c r="A46" s="374" t="s">
        <v>222</v>
      </c>
      <c r="B46" s="374"/>
      <c r="C46" s="374"/>
      <c r="D46" s="374"/>
      <c r="E46" s="374"/>
      <c r="F46" s="374"/>
      <c r="G46" s="374"/>
      <c r="H46" s="374"/>
      <c r="I46" s="151"/>
      <c r="J46" s="151"/>
      <c r="K46" s="151"/>
      <c r="L46" s="151"/>
      <c r="M46" s="151"/>
      <c r="N46" s="151"/>
      <c r="O46" s="151"/>
      <c r="P46" s="151"/>
      <c r="Q46" s="152"/>
    </row>
    <row r="47" spans="1:18" ht="12.75" customHeight="1" x14ac:dyDescent="0.2">
      <c r="A47" s="291" t="s">
        <v>223</v>
      </c>
      <c r="B47" s="291"/>
      <c r="C47" s="291"/>
      <c r="D47" s="291"/>
      <c r="E47" s="291"/>
      <c r="F47" s="291"/>
      <c r="G47" s="291"/>
      <c r="H47" s="291"/>
      <c r="I47" s="160"/>
      <c r="J47" s="160"/>
      <c r="K47" s="160"/>
      <c r="L47" s="160"/>
      <c r="M47" s="160"/>
      <c r="N47" s="160"/>
      <c r="O47" s="160"/>
      <c r="P47" s="160"/>
      <c r="Q47" s="160"/>
      <c r="R47" s="160"/>
    </row>
    <row r="48" spans="1:18" ht="12.75" customHeight="1" x14ac:dyDescent="0.2">
      <c r="A48" s="374" t="s">
        <v>224</v>
      </c>
      <c r="B48" s="374"/>
      <c r="C48" s="374"/>
      <c r="D48" s="374"/>
      <c r="E48" s="374"/>
      <c r="F48" s="374"/>
      <c r="G48" s="374"/>
      <c r="H48" s="374"/>
      <c r="I48" s="160"/>
      <c r="J48" s="160"/>
      <c r="K48" s="160"/>
      <c r="L48" s="160"/>
      <c r="M48" s="160"/>
      <c r="N48" s="160"/>
      <c r="O48" s="160"/>
      <c r="P48" s="160"/>
      <c r="Q48" s="160"/>
      <c r="R48" s="160"/>
    </row>
    <row r="49" spans="1:24" ht="12.75" customHeight="1" x14ac:dyDescent="0.2">
      <c r="A49" s="374" t="s">
        <v>225</v>
      </c>
      <c r="B49" s="374"/>
      <c r="C49" s="374"/>
      <c r="D49" s="374"/>
      <c r="E49" s="374"/>
      <c r="F49" s="374"/>
      <c r="G49" s="374"/>
      <c r="H49" s="374"/>
      <c r="I49" s="160"/>
      <c r="J49" s="160"/>
      <c r="K49" s="160"/>
      <c r="L49" s="160"/>
      <c r="M49" s="160"/>
      <c r="N49" s="160"/>
      <c r="O49" s="160"/>
      <c r="P49" s="160"/>
      <c r="Q49" s="160"/>
      <c r="R49" s="160"/>
    </row>
    <row r="50" spans="1:24" ht="12.75" customHeight="1" x14ac:dyDescent="0.2">
      <c r="A50" s="374" t="s">
        <v>226</v>
      </c>
      <c r="B50" s="374"/>
      <c r="C50" s="374"/>
      <c r="D50" s="374"/>
      <c r="E50" s="374"/>
      <c r="F50" s="374"/>
      <c r="G50" s="374"/>
      <c r="H50" s="374"/>
      <c r="Q50" s="160"/>
      <c r="R50" s="160"/>
      <c r="S50" s="161"/>
      <c r="T50" s="162"/>
    </row>
    <row r="51" spans="1:24" x14ac:dyDescent="0.2">
      <c r="A51" s="271" t="s">
        <v>227</v>
      </c>
      <c r="B51" s="271"/>
      <c r="C51" s="271"/>
      <c r="D51" s="271"/>
      <c r="E51" s="271"/>
      <c r="F51" s="271"/>
      <c r="G51" s="271"/>
      <c r="H51" s="271"/>
      <c r="Q51" s="160"/>
      <c r="R51" s="160"/>
      <c r="S51" s="161"/>
      <c r="T51" s="162"/>
    </row>
    <row r="52" spans="1:24" x14ac:dyDescent="0.2">
      <c r="A52" s="4"/>
      <c r="B52" s="4"/>
      <c r="C52" s="4"/>
      <c r="D52" s="4"/>
      <c r="E52" s="4"/>
      <c r="F52" s="4"/>
      <c r="G52" s="4"/>
      <c r="H52" s="4"/>
      <c r="Q52" s="160"/>
      <c r="R52" s="160"/>
      <c r="S52" s="161"/>
      <c r="T52" s="162"/>
      <c r="W52" s="163"/>
      <c r="X52" s="163"/>
    </row>
    <row r="53" spans="1:24" x14ac:dyDescent="0.2">
      <c r="A53" s="164"/>
      <c r="B53" s="160"/>
      <c r="C53" s="160"/>
      <c r="D53" s="160"/>
      <c r="E53" s="160"/>
      <c r="F53" s="160"/>
      <c r="G53" s="160"/>
      <c r="H53" s="160"/>
      <c r="R53" s="160"/>
      <c r="S53" s="161"/>
      <c r="T53" s="162"/>
    </row>
    <row r="54" spans="1:24" x14ac:dyDescent="0.2">
      <c r="A54" s="164"/>
      <c r="B54" s="160"/>
      <c r="C54" s="160"/>
      <c r="D54" s="160"/>
      <c r="E54" s="160"/>
      <c r="F54" s="160"/>
      <c r="G54" s="160"/>
      <c r="H54" s="160"/>
    </row>
    <row r="55" spans="1:24" x14ac:dyDescent="0.2">
      <c r="A55" s="164"/>
      <c r="B55" s="160"/>
      <c r="C55" s="160"/>
      <c r="D55" s="160"/>
      <c r="E55" s="160"/>
      <c r="F55" s="160"/>
      <c r="G55" s="160"/>
      <c r="H55" s="160"/>
      <c r="S55" s="161"/>
      <c r="T55" s="161"/>
    </row>
    <row r="63" spans="1:24" x14ac:dyDescent="0.2">
      <c r="I63" s="165"/>
      <c r="J63" s="165"/>
      <c r="K63" s="165"/>
      <c r="L63" s="165"/>
      <c r="M63" s="165"/>
      <c r="N63" s="165"/>
      <c r="O63" s="165"/>
    </row>
    <row r="68" spans="1:8" x14ac:dyDescent="0.2">
      <c r="G68" s="165"/>
      <c r="H68" s="165"/>
    </row>
    <row r="70" spans="1:8" x14ac:dyDescent="0.2">
      <c r="A70" s="166"/>
      <c r="B70" s="165"/>
      <c r="C70" s="165"/>
      <c r="D70" s="165"/>
      <c r="E70" s="165"/>
      <c r="F70" s="165"/>
    </row>
  </sheetData>
  <sheetProtection password="F385" sheet="1" objects="1" scenarios="1"/>
  <mergeCells count="44">
    <mergeCell ref="A46:H46"/>
    <mergeCell ref="A47:H47"/>
    <mergeCell ref="A48:H48"/>
    <mergeCell ref="A49:H49"/>
    <mergeCell ref="A50:H50"/>
    <mergeCell ref="A38:H38"/>
    <mergeCell ref="A39:D39"/>
    <mergeCell ref="F39:H39"/>
    <mergeCell ref="A40:A41"/>
    <mergeCell ref="B40:B41"/>
    <mergeCell ref="D40:D41"/>
    <mergeCell ref="F40:F41"/>
    <mergeCell ref="H40:H41"/>
    <mergeCell ref="A32:H32"/>
    <mergeCell ref="A33:A34"/>
    <mergeCell ref="B33:B34"/>
    <mergeCell ref="C33:C34"/>
    <mergeCell ref="F33:F34"/>
    <mergeCell ref="H33:H34"/>
    <mergeCell ref="A26:H26"/>
    <mergeCell ref="A27:A28"/>
    <mergeCell ref="B27:B28"/>
    <mergeCell ref="C27:C28"/>
    <mergeCell ref="F27:F28"/>
    <mergeCell ref="H27:H28"/>
    <mergeCell ref="A20:H20"/>
    <mergeCell ref="A21:A22"/>
    <mergeCell ref="B21:B22"/>
    <mergeCell ref="C21:C22"/>
    <mergeCell ref="F21:F22"/>
    <mergeCell ref="H21:H22"/>
    <mergeCell ref="A7:H7"/>
    <mergeCell ref="A8:H8"/>
    <mergeCell ref="A14:H14"/>
    <mergeCell ref="A15:A16"/>
    <mergeCell ref="B15:B16"/>
    <mergeCell ref="C15:C16"/>
    <mergeCell ref="F15:F16"/>
    <mergeCell ref="H15:H16"/>
    <mergeCell ref="A1:H1"/>
    <mergeCell ref="A2:H2"/>
    <mergeCell ref="A3:H3"/>
    <mergeCell ref="A5:H5"/>
    <mergeCell ref="A6:H6"/>
  </mergeCells>
  <dataValidations count="1">
    <dataValidation allowBlank="1" showInputMessage="1" showErrorMessage="1" errorTitle="Pare !!!" error="Pare !!!" sqref="T55">
      <formula1>0</formula1>
      <formula2>0</formula2>
    </dataValidation>
  </dataValidations>
  <printOptions horizontalCentered="1"/>
  <pageMargins left="0.11811023622047245" right="0.11811023622047245" top="0.67" bottom="0.27559055118110237" header="0.15748031496062992" footer="3.937007874015748E-2"/>
  <pageSetup paperSize="9" scale="65" firstPageNumber="0" orientation="portrait" horizontalDpi="300" verticalDpi="300" r:id="rId1"/>
  <headerFooter>
    <oddHeader>&amp;C&amp;G&amp;R&amp;8&amp;P</oddHeader>
    <oddFooter>&amp;L&amp;8&amp;G
  &amp;"Arial,Negrito"&amp;K08-023 SCCAT/CFIC/SECOFC</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44"/>
  <sheetViews>
    <sheetView showGridLines="0" view="pageBreakPreview" zoomScaleNormal="100" workbookViewId="0">
      <selection activeCell="G39" sqref="G39"/>
    </sheetView>
  </sheetViews>
  <sheetFormatPr defaultRowHeight="12.75" x14ac:dyDescent="0.2"/>
  <cols>
    <col min="1" max="1" width="14.7109375" style="167" customWidth="1"/>
    <col min="2" max="2" width="39.28515625" style="185" customWidth="1"/>
    <col min="3" max="3" width="14.7109375" style="167" customWidth="1"/>
    <col min="4" max="4" width="59.28515625" style="167" customWidth="1"/>
    <col min="5" max="5" width="14.7109375" style="167" customWidth="1"/>
    <col min="6" max="6" width="14.140625" style="167" customWidth="1"/>
    <col min="7" max="10" width="17.140625" style="167" customWidth="1"/>
    <col min="11" max="11" width="19.85546875" style="167" customWidth="1"/>
    <col min="12" max="12" width="17.140625" style="167" customWidth="1"/>
    <col min="13" max="13" width="34.28515625" style="167" customWidth="1"/>
    <col min="14" max="14" width="17.7109375" style="167" customWidth="1"/>
    <col min="15" max="15" width="13.42578125" style="167" customWidth="1"/>
    <col min="16" max="17" width="11.42578125" style="167" customWidth="1"/>
    <col min="18" max="18" width="16.5703125" style="167" customWidth="1"/>
    <col min="19" max="1025" width="11.42578125" style="167" customWidth="1"/>
  </cols>
  <sheetData>
    <row r="1" spans="1:5" ht="18" x14ac:dyDescent="0.25">
      <c r="A1" s="316" t="str">
        <f>'Carreg, Recep e Enc '!A1:R1</f>
        <v>TRIBUNAL REGIONAL ELEITORAL DO PARANÁ</v>
      </c>
      <c r="B1" s="316"/>
      <c r="C1" s="316"/>
      <c r="D1" s="316"/>
      <c r="E1" s="316"/>
    </row>
    <row r="2" spans="1:5" ht="15" customHeight="1" x14ac:dyDescent="0.2">
      <c r="A2" s="375" t="str">
        <f>'Carreg, Recep e Enc '!A2:R2</f>
        <v>Planilha de Custos e Formação de Preços - Estimativa TRE-PR</v>
      </c>
      <c r="B2" s="375"/>
      <c r="C2" s="375"/>
      <c r="D2" s="375"/>
      <c r="E2" s="375"/>
    </row>
    <row r="3" spans="1:5" ht="15" customHeight="1" x14ac:dyDescent="0.2">
      <c r="A3" s="318" t="str">
        <f>'Carreg, Recep e Enc '!A3:R3</f>
        <v>Serviços de Carregador, Recepcionista e Encarregado</v>
      </c>
      <c r="B3" s="318"/>
      <c r="C3" s="318"/>
      <c r="D3" s="318"/>
      <c r="E3" s="318"/>
    </row>
    <row r="4" spans="1:5" ht="15" customHeight="1" x14ac:dyDescent="0.2">
      <c r="A4" s="269"/>
      <c r="B4" s="270"/>
      <c r="C4" s="269"/>
      <c r="D4" s="269"/>
      <c r="E4" s="269"/>
    </row>
    <row r="5" spans="1:5" ht="15" customHeight="1" x14ac:dyDescent="0.2">
      <c r="A5" s="376" t="str">
        <f>'Carreg, Recep e Enc '!A9:R9</f>
        <v>Empresa</v>
      </c>
      <c r="B5" s="376"/>
      <c r="C5" s="376"/>
      <c r="D5" s="376"/>
      <c r="E5" s="376"/>
    </row>
    <row r="6" spans="1:5" ht="15" customHeight="1" x14ac:dyDescent="0.2">
      <c r="A6" s="377" t="str">
        <f>'Carreg, Recep e Enc '!A10:R10</f>
        <v>CNPJ</v>
      </c>
      <c r="B6" s="377"/>
      <c r="C6" s="377"/>
      <c r="D6" s="377"/>
      <c r="E6" s="377"/>
    </row>
    <row r="7" spans="1:5" ht="15" customHeight="1" x14ac:dyDescent="0.2">
      <c r="A7" s="379"/>
      <c r="B7" s="379"/>
      <c r="C7" s="379"/>
      <c r="D7" s="379"/>
      <c r="E7" s="379"/>
    </row>
    <row r="8" spans="1:5" s="168" customFormat="1" ht="25.5" customHeight="1" x14ac:dyDescent="0.2">
      <c r="A8" s="332" t="s">
        <v>228</v>
      </c>
      <c r="B8" s="332"/>
      <c r="C8" s="332"/>
      <c r="D8" s="332"/>
      <c r="E8" s="332"/>
    </row>
    <row r="9" spans="1:5" ht="45" customHeight="1" x14ac:dyDescent="0.2">
      <c r="A9" s="178"/>
      <c r="B9" s="378" t="s">
        <v>251</v>
      </c>
      <c r="C9" s="378"/>
      <c r="D9" s="378"/>
      <c r="E9" s="178"/>
    </row>
    <row r="10" spans="1:5" ht="15" customHeight="1" x14ac:dyDescent="0.2">
      <c r="A10" s="178"/>
      <c r="B10" s="179"/>
      <c r="C10" s="178"/>
      <c r="D10" s="178"/>
      <c r="E10" s="178"/>
    </row>
    <row r="11" spans="1:5" s="169" customFormat="1" ht="15" customHeight="1" x14ac:dyDescent="0.2">
      <c r="A11" s="180"/>
      <c r="B11" s="181" t="s">
        <v>241</v>
      </c>
      <c r="C11" s="52">
        <v>0</v>
      </c>
      <c r="D11" s="275"/>
      <c r="E11" s="180"/>
    </row>
    <row r="12" spans="1:5" s="169" customFormat="1" ht="15" customHeight="1" x14ac:dyDescent="0.2">
      <c r="A12" s="180"/>
      <c r="B12" s="181" t="s">
        <v>242</v>
      </c>
      <c r="C12" s="52">
        <v>0</v>
      </c>
      <c r="D12" s="275"/>
      <c r="E12" s="180"/>
    </row>
    <row r="13" spans="1:5" s="169" customFormat="1" ht="15" customHeight="1" x14ac:dyDescent="0.2">
      <c r="A13" s="180"/>
      <c r="B13" s="180"/>
      <c r="C13" s="180"/>
      <c r="D13" s="180"/>
      <c r="E13" s="180"/>
    </row>
    <row r="14" spans="1:5" s="169" customFormat="1" ht="15" customHeight="1" x14ac:dyDescent="0.2">
      <c r="A14" s="180"/>
      <c r="B14" s="267" t="s">
        <v>229</v>
      </c>
      <c r="C14" s="186">
        <f>ROUND((('Carreg, Recep e Enc '!B17)/30*C11),2)</f>
        <v>0</v>
      </c>
      <c r="D14" s="182" t="s">
        <v>230</v>
      </c>
      <c r="E14" s="180"/>
    </row>
    <row r="15" spans="1:5" s="169" customFormat="1" ht="15" customHeight="1" x14ac:dyDescent="0.2">
      <c r="A15" s="180"/>
      <c r="B15" s="267" t="s">
        <v>231</v>
      </c>
      <c r="C15" s="186">
        <f>ROUND((('Encargos Sociais'!F23/100)*C14),2)</f>
        <v>0</v>
      </c>
      <c r="D15" s="182" t="s">
        <v>232</v>
      </c>
      <c r="E15" s="180"/>
    </row>
    <row r="16" spans="1:5" s="169" customFormat="1" ht="15" customHeight="1" x14ac:dyDescent="0.2">
      <c r="A16" s="180"/>
      <c r="B16" s="267" t="s">
        <v>233</v>
      </c>
      <c r="C16" s="186">
        <f>'Carreg, Recep e Enc '!E15*C12</f>
        <v>0</v>
      </c>
      <c r="D16" s="182" t="s">
        <v>234</v>
      </c>
      <c r="E16" s="180"/>
    </row>
    <row r="17" spans="1:5" s="169" customFormat="1" ht="15" customHeight="1" x14ac:dyDescent="0.2">
      <c r="A17" s="180"/>
      <c r="B17" s="267" t="s">
        <v>235</v>
      </c>
      <c r="C17" s="186">
        <f>('Carreg, Recep e Enc '!G15*'Carreg, Recep e Enc '!H15)*C12</f>
        <v>0</v>
      </c>
      <c r="D17" s="182" t="s">
        <v>236</v>
      </c>
      <c r="E17" s="180"/>
    </row>
    <row r="18" spans="1:5" s="169" customFormat="1" ht="15" customHeight="1" x14ac:dyDescent="0.2">
      <c r="A18" s="180"/>
      <c r="B18" s="1" t="s">
        <v>237</v>
      </c>
      <c r="C18" s="187">
        <f>SUM(C14:C17)</f>
        <v>0</v>
      </c>
      <c r="D18" s="183"/>
      <c r="E18" s="180"/>
    </row>
    <row r="19" spans="1:5" s="169" customFormat="1" ht="15" customHeight="1" x14ac:dyDescent="0.2">
      <c r="A19" s="180"/>
      <c r="B19" s="267" t="s">
        <v>238</v>
      </c>
      <c r="C19" s="186">
        <f>ROUND((CITL!B18*C18),2)</f>
        <v>0</v>
      </c>
      <c r="D19" s="182" t="s">
        <v>239</v>
      </c>
      <c r="E19" s="180"/>
    </row>
    <row r="20" spans="1:5" s="169" customFormat="1" ht="15" customHeight="1" x14ac:dyDescent="0.2">
      <c r="A20" s="180"/>
      <c r="B20" s="1" t="s">
        <v>240</v>
      </c>
      <c r="C20" s="187">
        <f>C18+C19</f>
        <v>0</v>
      </c>
      <c r="D20" s="184"/>
      <c r="E20" s="180"/>
    </row>
    <row r="21" spans="1:5" ht="45" customHeight="1" x14ac:dyDescent="0.2">
      <c r="A21" s="178"/>
      <c r="B21" s="378" t="s">
        <v>252</v>
      </c>
      <c r="C21" s="378"/>
      <c r="D21" s="378"/>
      <c r="E21" s="178"/>
    </row>
    <row r="22" spans="1:5" ht="15" customHeight="1" x14ac:dyDescent="0.2">
      <c r="A22" s="178"/>
      <c r="B22" s="179"/>
      <c r="C22" s="178"/>
      <c r="D22" s="178"/>
      <c r="E22" s="178"/>
    </row>
    <row r="23" spans="1:5" s="169" customFormat="1" ht="15" customHeight="1" x14ac:dyDescent="0.2">
      <c r="A23" s="180"/>
      <c r="B23" s="181" t="s">
        <v>241</v>
      </c>
      <c r="C23" s="52">
        <v>0</v>
      </c>
      <c r="D23" s="275"/>
      <c r="E23" s="180"/>
    </row>
    <row r="24" spans="1:5" s="169" customFormat="1" ht="15" customHeight="1" x14ac:dyDescent="0.2">
      <c r="A24" s="180"/>
      <c r="B24" s="181" t="s">
        <v>242</v>
      </c>
      <c r="C24" s="52">
        <v>0</v>
      </c>
      <c r="D24" s="275"/>
      <c r="E24" s="180"/>
    </row>
    <row r="25" spans="1:5" s="169" customFormat="1" ht="15" customHeight="1" x14ac:dyDescent="0.2">
      <c r="A25" s="180"/>
      <c r="B25" s="180"/>
      <c r="C25" s="180"/>
      <c r="D25" s="180"/>
      <c r="E25" s="180"/>
    </row>
    <row r="26" spans="1:5" s="169" customFormat="1" ht="15" customHeight="1" x14ac:dyDescent="0.2">
      <c r="A26" s="180"/>
      <c r="B26" s="267" t="s">
        <v>229</v>
      </c>
      <c r="C26" s="186">
        <f>ROUND((('Carreg, Recep e Enc '!B18/30)*FISCALIZAÇÃO!C23),2)</f>
        <v>0</v>
      </c>
      <c r="D26" s="182" t="s">
        <v>230</v>
      </c>
      <c r="E26" s="180"/>
    </row>
    <row r="27" spans="1:5" s="169" customFormat="1" ht="15" customHeight="1" x14ac:dyDescent="0.2">
      <c r="A27" s="180"/>
      <c r="B27" s="267" t="s">
        <v>231</v>
      </c>
      <c r="C27" s="186">
        <f>ROUND(('Encargos Sociais'!F23/100*FISCALIZAÇÃO!C26),2)</f>
        <v>0</v>
      </c>
      <c r="D27" s="182" t="s">
        <v>232</v>
      </c>
      <c r="E27" s="180"/>
    </row>
    <row r="28" spans="1:5" s="169" customFormat="1" ht="15" customHeight="1" x14ac:dyDescent="0.2">
      <c r="A28" s="180"/>
      <c r="B28" s="267" t="s">
        <v>233</v>
      </c>
      <c r="C28" s="186">
        <f>'Carreg, Recep e Enc '!E15*FISCALIZAÇÃO!C24</f>
        <v>0</v>
      </c>
      <c r="D28" s="182" t="s">
        <v>234</v>
      </c>
      <c r="E28" s="180"/>
    </row>
    <row r="29" spans="1:5" s="169" customFormat="1" ht="15" customHeight="1" x14ac:dyDescent="0.2">
      <c r="A29" s="180"/>
      <c r="B29" s="267" t="s">
        <v>235</v>
      </c>
      <c r="C29" s="186">
        <f>('Carreg, Recep e Enc '!G15*'Carreg, Recep e Enc '!H15)*FISCALIZAÇÃO!C24</f>
        <v>0</v>
      </c>
      <c r="D29" s="182" t="s">
        <v>236</v>
      </c>
      <c r="E29" s="180"/>
    </row>
    <row r="30" spans="1:5" s="169" customFormat="1" ht="15" customHeight="1" x14ac:dyDescent="0.2">
      <c r="A30" s="180"/>
      <c r="B30" s="1" t="s">
        <v>237</v>
      </c>
      <c r="C30" s="187">
        <f>SUM(C26:C29)</f>
        <v>0</v>
      </c>
      <c r="D30" s="183"/>
      <c r="E30" s="180"/>
    </row>
    <row r="31" spans="1:5" s="169" customFormat="1" ht="15" customHeight="1" x14ac:dyDescent="0.2">
      <c r="A31" s="180"/>
      <c r="B31" s="267" t="s">
        <v>238</v>
      </c>
      <c r="C31" s="186">
        <f>ROUND((CITL!B18*FISCALIZAÇÃO!C30),2)</f>
        <v>0</v>
      </c>
      <c r="D31" s="182" t="s">
        <v>239</v>
      </c>
      <c r="E31" s="180"/>
    </row>
    <row r="32" spans="1:5" s="169" customFormat="1" ht="15" customHeight="1" x14ac:dyDescent="0.2">
      <c r="A32" s="180"/>
      <c r="B32" s="1" t="s">
        <v>240</v>
      </c>
      <c r="C32" s="187">
        <f>C30+C31</f>
        <v>0</v>
      </c>
      <c r="D32" s="184"/>
      <c r="E32" s="180"/>
    </row>
    <row r="33" spans="1:5" ht="45" customHeight="1" x14ac:dyDescent="0.2">
      <c r="A33" s="178"/>
      <c r="B33" s="378" t="s">
        <v>253</v>
      </c>
      <c r="C33" s="378"/>
      <c r="D33" s="378"/>
      <c r="E33" s="178"/>
    </row>
    <row r="34" spans="1:5" ht="15" customHeight="1" x14ac:dyDescent="0.2">
      <c r="A34" s="178"/>
      <c r="B34" s="179"/>
      <c r="C34" s="178"/>
      <c r="D34" s="178"/>
      <c r="E34" s="178"/>
    </row>
    <row r="35" spans="1:5" s="169" customFormat="1" ht="15" customHeight="1" x14ac:dyDescent="0.2">
      <c r="A35" s="180"/>
      <c r="B35" s="181" t="s">
        <v>241</v>
      </c>
      <c r="C35" s="52">
        <v>0</v>
      </c>
      <c r="D35" s="275"/>
      <c r="E35" s="180"/>
    </row>
    <row r="36" spans="1:5" s="169" customFormat="1" ht="15" customHeight="1" x14ac:dyDescent="0.2">
      <c r="A36" s="180"/>
      <c r="B36" s="181" t="s">
        <v>242</v>
      </c>
      <c r="C36" s="52">
        <v>0</v>
      </c>
      <c r="D36" s="275"/>
      <c r="E36" s="180"/>
    </row>
    <row r="37" spans="1:5" s="169" customFormat="1" ht="15" customHeight="1" x14ac:dyDescent="0.2">
      <c r="A37" s="180"/>
      <c r="B37" s="180"/>
      <c r="C37" s="180"/>
      <c r="D37" s="180"/>
      <c r="E37" s="180"/>
    </row>
    <row r="38" spans="1:5" s="169" customFormat="1" ht="15" customHeight="1" x14ac:dyDescent="0.2">
      <c r="A38" s="180"/>
      <c r="B38" s="267" t="s">
        <v>229</v>
      </c>
      <c r="C38" s="186">
        <f>ROUND((('Carreg, Recep e Enc '!B19/30)*C35),2)</f>
        <v>0</v>
      </c>
      <c r="D38" s="182" t="s">
        <v>230</v>
      </c>
      <c r="E38" s="180"/>
    </row>
    <row r="39" spans="1:5" s="169" customFormat="1" ht="15" customHeight="1" x14ac:dyDescent="0.2">
      <c r="A39" s="180"/>
      <c r="B39" s="267" t="s">
        <v>231</v>
      </c>
      <c r="C39" s="186">
        <f>ROUND(('Encargos Sociais'!F23/100*FISCALIZAÇÃO!C38),2)</f>
        <v>0</v>
      </c>
      <c r="D39" s="182" t="s">
        <v>232</v>
      </c>
      <c r="E39" s="180"/>
    </row>
    <row r="40" spans="1:5" s="169" customFormat="1" ht="15" customHeight="1" x14ac:dyDescent="0.2">
      <c r="A40" s="180"/>
      <c r="B40" s="267" t="s">
        <v>233</v>
      </c>
      <c r="C40" s="186">
        <f>'Carreg, Recep e Enc '!E15*FISCALIZAÇÃO!C36</f>
        <v>0</v>
      </c>
      <c r="D40" s="182" t="s">
        <v>234</v>
      </c>
      <c r="E40" s="180"/>
    </row>
    <row r="41" spans="1:5" s="169" customFormat="1" ht="15" customHeight="1" x14ac:dyDescent="0.2">
      <c r="A41" s="180"/>
      <c r="B41" s="267" t="s">
        <v>235</v>
      </c>
      <c r="C41" s="186">
        <f>('Carreg, Recep e Enc '!G15*'Carreg, Recep e Enc '!H15)*FISCALIZAÇÃO!C36</f>
        <v>0</v>
      </c>
      <c r="D41" s="182" t="s">
        <v>236</v>
      </c>
      <c r="E41" s="180"/>
    </row>
    <row r="42" spans="1:5" s="169" customFormat="1" ht="15" customHeight="1" x14ac:dyDescent="0.2">
      <c r="A42" s="180"/>
      <c r="B42" s="1" t="s">
        <v>237</v>
      </c>
      <c r="C42" s="187">
        <f>SUM(C38:C41)</f>
        <v>0</v>
      </c>
      <c r="D42" s="183"/>
      <c r="E42" s="180"/>
    </row>
    <row r="43" spans="1:5" s="169" customFormat="1" ht="15" customHeight="1" x14ac:dyDescent="0.2">
      <c r="A43" s="180"/>
      <c r="B43" s="267" t="s">
        <v>238</v>
      </c>
      <c r="C43" s="186">
        <f>ROUND((CITL!B18*FISCALIZAÇÃO!C42),2)</f>
        <v>0</v>
      </c>
      <c r="D43" s="182" t="s">
        <v>239</v>
      </c>
      <c r="E43" s="180"/>
    </row>
    <row r="44" spans="1:5" s="169" customFormat="1" ht="15" customHeight="1" x14ac:dyDescent="0.2">
      <c r="A44" s="180"/>
      <c r="B44" s="1" t="s">
        <v>240</v>
      </c>
      <c r="C44" s="187">
        <f>C42+C43</f>
        <v>0</v>
      </c>
      <c r="D44" s="184"/>
      <c r="E44" s="180"/>
    </row>
  </sheetData>
  <sheetProtection password="F385" sheet="1" objects="1" scenarios="1" selectLockedCells="1"/>
  <mergeCells count="10">
    <mergeCell ref="B33:D33"/>
    <mergeCell ref="A7:E7"/>
    <mergeCell ref="A8:E8"/>
    <mergeCell ref="B9:D9"/>
    <mergeCell ref="B21:D21"/>
    <mergeCell ref="A1:E1"/>
    <mergeCell ref="A2:E2"/>
    <mergeCell ref="A3:E3"/>
    <mergeCell ref="A5:E5"/>
    <mergeCell ref="A6:E6"/>
  </mergeCells>
  <printOptions horizontalCentered="1"/>
  <pageMargins left="0.23622047244094491" right="0.19685039370078741" top="0.73" bottom="0.27559055118110237" header="0.19685039370078741" footer="7.874015748031496E-2"/>
  <pageSetup paperSize="9" scale="71" firstPageNumber="0" orientation="portrait" horizontalDpi="300" verticalDpi="300" r:id="rId1"/>
  <headerFooter>
    <oddHeader>&amp;C&amp;G&amp;R&amp;8&amp;P</oddHeader>
    <oddFooter>&amp;L&amp;8&amp;G
   &amp;"Arial,Negrito"&amp;K0070C0SCCAT/CFIC/SECFC</oddFooter>
  </headerFooter>
  <legacyDrawingHF r:id="rId2"/>
</worksheet>
</file>

<file path=docProps/app.xml><?xml version="1.0" encoding="utf-8"?>
<Properties xmlns="http://schemas.openxmlformats.org/officeDocument/2006/extended-properties" xmlns:vt="http://schemas.openxmlformats.org/officeDocument/2006/docPropsVTypes">
  <Template/>
  <TotalTime>163</TotalTime>
  <Application>Microsoft Excel</Application>
  <DocSecurity>0</DocSecurity>
  <ScaleCrop>false</ScaleCrop>
  <HeadingPairs>
    <vt:vector size="4" baseType="variant">
      <vt:variant>
        <vt:lpstr>Planilhas</vt:lpstr>
      </vt:variant>
      <vt:variant>
        <vt:i4>6</vt:i4>
      </vt:variant>
      <vt:variant>
        <vt:lpstr>Intervalos nomeados</vt:lpstr>
      </vt:variant>
      <vt:variant>
        <vt:i4>8</vt:i4>
      </vt:variant>
    </vt:vector>
  </HeadingPairs>
  <TitlesOfParts>
    <vt:vector size="14" baseType="lpstr">
      <vt:lpstr>Carreg, Recep e Enc </vt:lpstr>
      <vt:lpstr>Encargos Sociais</vt:lpstr>
      <vt:lpstr>CITL</vt:lpstr>
      <vt:lpstr>Insumos</vt:lpstr>
      <vt:lpstr>Hora Extra</vt:lpstr>
      <vt:lpstr>FISCALIZAÇÃO</vt:lpstr>
      <vt:lpstr>'Carreg, Recep e Enc '!Area_de_impressao</vt:lpstr>
      <vt:lpstr>CITL!Area_de_impressao</vt:lpstr>
      <vt:lpstr>'Encargos Sociais'!Area_de_impressao</vt:lpstr>
      <vt:lpstr>FISCALIZAÇÃO!Area_de_impressao</vt:lpstr>
      <vt:lpstr>'Hora Extra'!Area_de_impressao</vt:lpstr>
      <vt:lpstr>Insumos!Area_de_impressao</vt:lpstr>
      <vt:lpstr>'Encargos Sociais'!Titulos_de_impressao</vt:lpstr>
      <vt:lpstr>'Hora Extra'!Titulos_de_impressao</vt:lpstr>
    </vt:vector>
  </TitlesOfParts>
  <Company>Justiça Eleitoral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Ana Maria</dc:creator>
  <dc:description/>
  <cp:lastModifiedBy>MARIA CAROLINA</cp:lastModifiedBy>
  <cp:revision>2</cp:revision>
  <cp:lastPrinted>2021-10-28T01:03:34Z</cp:lastPrinted>
  <dcterms:created xsi:type="dcterms:W3CDTF">2002-06-10T15:51:10Z</dcterms:created>
  <dcterms:modified xsi:type="dcterms:W3CDTF">2021-11-17T22:08:14Z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Company">
    <vt:lpwstr>Justiça Eleitoral</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