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Drives compartilhados\SELED\Arquivos que estavama na pasta colaboração\Controles SELED\Arquivos Editais\LICITAÇÕES 2023\PE 59\"/>
    </mc:Choice>
  </mc:AlternateContent>
  <bookViews>
    <workbookView xWindow="0" yWindow="0" windowWidth="20490" windowHeight="7755"/>
  </bookViews>
  <sheets>
    <sheet name="POSTOS e RESUMO" sheetId="1" r:id="rId1"/>
    <sheet name="ENCARGOS e PROVISOES" sheetId="2" r:id="rId2"/>
    <sheet name="ENCARGOS Posto Per Ele" sheetId="11" r:id="rId3"/>
    <sheet name="CITL" sheetId="3" r:id="rId4"/>
    <sheet name="V.T." sheetId="4" r:id="rId5"/>
    <sheet name="SERVIÇOS SOB DEMANDA" sheetId="5" r:id="rId6"/>
    <sheet name="EQUIPAMENTOS" sheetId="10" r:id="rId7"/>
    <sheet name="INSUMOS Analitica" sheetId="6" r:id="rId8"/>
    <sheet name="INSUMOS Pacote Adicional" sheetId="7" r:id="rId9"/>
    <sheet name="INSUMOS Posto Período Eleitoral" sheetId="8" r:id="rId10"/>
    <sheet name="HORA EXTRA E VA POR ASSID" sheetId="9" r:id="rId11"/>
  </sheets>
  <definedNames>
    <definedName name="_xlnm.Print_Area" localSheetId="3">CITL!$A$1:$H$46</definedName>
    <definedName name="_xlnm.Print_Area" localSheetId="6">EQUIPAMENTOS!$A$1:$K$35</definedName>
    <definedName name="_xlnm.Print_Area" localSheetId="10">'HORA EXTRA E VA POR ASSID'!$A$1:$I$78</definedName>
    <definedName name="Print_Area" localSheetId="3">CITL!$A$1:$H$46</definedName>
    <definedName name="Print_Area" localSheetId="1">'ENCARGOS e PROVISOES'!$A$1:$H$64</definedName>
    <definedName name="Print_Area" localSheetId="2">'ENCARGOS Posto Per Ele'!$A$1:$H$64</definedName>
    <definedName name="Print_Area" localSheetId="6">EQUIPAMENTOS!$A$1:$K$35</definedName>
    <definedName name="Print_Area" localSheetId="10">'HORA EXTRA E VA POR ASSID'!$A$1:$I$77</definedName>
    <definedName name="Print_Area" localSheetId="7">'INSUMOS Analitica'!$A$1:$L$130</definedName>
    <definedName name="Print_Area" localSheetId="8">'INSUMOS Pacote Adicional'!$A$1:$F$33</definedName>
    <definedName name="Print_Area" localSheetId="9">'INSUMOS Posto Período Eleitoral'!$A$1:$F$77</definedName>
    <definedName name="Print_Area" localSheetId="0">'POSTOS e RESUMO'!$A$1:$U$58</definedName>
    <definedName name="Print_Area" localSheetId="5">'SERVIÇOS SOB DEMANDA'!$A$1:$F$48</definedName>
    <definedName name="Print_Area" localSheetId="4">V.T.!$A$1:$H$57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4" i="2" l="1"/>
  <c r="F42" i="2" l="1"/>
  <c r="F38" i="2"/>
  <c r="F35" i="2"/>
  <c r="F49" i="2"/>
  <c r="H22" i="11" l="1"/>
  <c r="H16" i="11"/>
  <c r="H17" i="11"/>
  <c r="H18" i="11"/>
  <c r="H19" i="11"/>
  <c r="H20" i="11"/>
  <c r="H15" i="11"/>
  <c r="F22" i="11"/>
  <c r="D21" i="11"/>
  <c r="B21" i="11"/>
  <c r="F16" i="11"/>
  <c r="F17" i="11"/>
  <c r="F18" i="11"/>
  <c r="F19" i="11"/>
  <c r="F20" i="11"/>
  <c r="F15" i="11"/>
  <c r="A6" i="3"/>
  <c r="A5" i="3"/>
  <c r="A3" i="3"/>
  <c r="A2" i="3"/>
  <c r="A1" i="3"/>
  <c r="F51" i="11" l="1"/>
  <c r="F51" i="2"/>
  <c r="F48" i="2"/>
  <c r="E60" i="9" l="1"/>
  <c r="D43" i="9"/>
  <c r="H16" i="9"/>
  <c r="H15" i="6"/>
  <c r="I15" i="10"/>
  <c r="P18" i="1"/>
  <c r="H34" i="3" l="1"/>
  <c r="H35" i="3"/>
  <c r="H36" i="3"/>
  <c r="H37" i="3"/>
  <c r="H45" i="3" s="1"/>
  <c r="H38" i="3"/>
  <c r="H39" i="3"/>
  <c r="H40" i="3"/>
  <c r="H41" i="3"/>
  <c r="H42" i="3"/>
  <c r="H43" i="3"/>
  <c r="H44" i="3"/>
  <c r="H33" i="3"/>
  <c r="E34" i="3"/>
  <c r="E35" i="3"/>
  <c r="E36" i="3"/>
  <c r="E37" i="3"/>
  <c r="E38" i="3"/>
  <c r="E39" i="3"/>
  <c r="E40" i="3"/>
  <c r="E41" i="3"/>
  <c r="E42" i="3"/>
  <c r="E43" i="3"/>
  <c r="E44" i="3"/>
  <c r="E33" i="3"/>
  <c r="F17" i="3"/>
  <c r="E45" i="3" l="1"/>
  <c r="F48" i="11" l="1"/>
  <c r="O25" i="1" l="1"/>
  <c r="O20" i="1"/>
  <c r="O21" i="1"/>
  <c r="O22" i="1"/>
  <c r="F37" i="11"/>
  <c r="F52" i="11"/>
  <c r="F53" i="11"/>
  <c r="F28" i="11"/>
  <c r="F29" i="11" s="1"/>
  <c r="F27" i="11"/>
  <c r="F21" i="11"/>
  <c r="F23" i="11" s="1"/>
  <c r="A6" i="11"/>
  <c r="A5" i="11"/>
  <c r="A3" i="11"/>
  <c r="A2" i="11"/>
  <c r="A1" i="11"/>
  <c r="F60" i="11" l="1"/>
  <c r="F39" i="11"/>
  <c r="F30" i="11"/>
  <c r="F31" i="11" s="1"/>
  <c r="F54" i="11"/>
  <c r="F36" i="11"/>
  <c r="F41" i="11" l="1"/>
  <c r="F42" i="11" s="1"/>
  <c r="F43" i="11" s="1"/>
  <c r="F61" i="11"/>
  <c r="N22" i="1"/>
  <c r="N25" i="1"/>
  <c r="N21" i="1"/>
  <c r="N20" i="1"/>
  <c r="F62" i="11" l="1"/>
  <c r="F55" i="11"/>
  <c r="F56" i="11" s="1"/>
  <c r="F63" i="11" s="1"/>
  <c r="F64" i="11" s="1"/>
  <c r="A6" i="2"/>
  <c r="A5" i="2"/>
  <c r="A3" i="2"/>
  <c r="A2" i="2"/>
  <c r="A1" i="2"/>
  <c r="F52" i="2"/>
  <c r="F47" i="2"/>
  <c r="F37" i="2"/>
  <c r="F36" i="2"/>
  <c r="F28" i="2"/>
  <c r="F29" i="2" s="1"/>
  <c r="F27" i="2"/>
  <c r="F21" i="2"/>
  <c r="F23" i="2" s="1"/>
  <c r="F60" i="2" s="1"/>
  <c r="F53" i="2" l="1"/>
  <c r="F54" i="2" s="1"/>
  <c r="F24" i="1"/>
  <c r="F25" i="1" s="1"/>
  <c r="F30" i="2"/>
  <c r="F31" i="2" s="1"/>
  <c r="F39" i="2"/>
  <c r="F41" i="2" s="1"/>
  <c r="F61" i="2" l="1"/>
  <c r="F43" i="2"/>
  <c r="F62" i="2" s="1"/>
  <c r="F55" i="2" l="1"/>
  <c r="F56" i="2" s="1"/>
  <c r="F63" i="2" s="1"/>
  <c r="F18" i="1" s="1"/>
  <c r="E47" i="4" l="1"/>
  <c r="H119" i="6"/>
  <c r="I119" i="6" s="1"/>
  <c r="A7" i="10"/>
  <c r="A6" i="10"/>
  <c r="A3" i="10"/>
  <c r="A2" i="10"/>
  <c r="A1" i="10"/>
  <c r="E23" i="10"/>
  <c r="G22" i="10"/>
  <c r="F22" i="10"/>
  <c r="H22" i="10" s="1"/>
  <c r="H21" i="10"/>
  <c r="G21" i="10"/>
  <c r="F21" i="10"/>
  <c r="G20" i="10"/>
  <c r="F20" i="10"/>
  <c r="H20" i="10" s="1"/>
  <c r="H19" i="10"/>
  <c r="G19" i="10"/>
  <c r="F19" i="10"/>
  <c r="L15" i="6"/>
  <c r="K15" i="6"/>
  <c r="J15" i="6"/>
  <c r="H65" i="6"/>
  <c r="I65" i="6" s="1"/>
  <c r="E43" i="8" s="1"/>
  <c r="G35" i="1"/>
  <c r="K15" i="10" s="1"/>
  <c r="E119" i="6"/>
  <c r="E118" i="6"/>
  <c r="E111" i="6"/>
  <c r="E112" i="6"/>
  <c r="E113" i="6"/>
  <c r="E114" i="6"/>
  <c r="E115" i="6"/>
  <c r="E110" i="6"/>
  <c r="E109" i="6"/>
  <c r="E104" i="6"/>
  <c r="E100" i="6"/>
  <c r="E89" i="6"/>
  <c r="E88" i="6"/>
  <c r="E87" i="6"/>
  <c r="E79" i="6"/>
  <c r="E80" i="6"/>
  <c r="E81" i="6"/>
  <c r="E82" i="6"/>
  <c r="E83" i="6"/>
  <c r="E84" i="6"/>
  <c r="E78" i="6"/>
  <c r="E77" i="6"/>
  <c r="E74" i="6"/>
  <c r="E73" i="6"/>
  <c r="E72" i="6"/>
  <c r="F53" i="9"/>
  <c r="F15" i="4"/>
  <c r="F16" i="4"/>
  <c r="F17" i="4"/>
  <c r="F18" i="4"/>
  <c r="F20" i="4"/>
  <c r="F21" i="4"/>
  <c r="F22" i="4"/>
  <c r="F23" i="4"/>
  <c r="F24" i="4"/>
  <c r="F25" i="4"/>
  <c r="F26" i="4"/>
  <c r="F27" i="4"/>
  <c r="F30" i="4"/>
  <c r="F31" i="4"/>
  <c r="F32" i="4"/>
  <c r="F33" i="4"/>
  <c r="F34" i="4"/>
  <c r="F35" i="4"/>
  <c r="F36" i="4"/>
  <c r="F37" i="4"/>
  <c r="F38" i="4"/>
  <c r="F41" i="4"/>
  <c r="F13" i="4"/>
  <c r="F11" i="4"/>
  <c r="D55" i="9"/>
  <c r="D54" i="9"/>
  <c r="D49" i="4"/>
  <c r="C55" i="9"/>
  <c r="C54" i="9"/>
  <c r="H34" i="9"/>
  <c r="G52" i="9"/>
  <c r="B40" i="9"/>
  <c r="B49" i="9" s="1"/>
  <c r="A40" i="9"/>
  <c r="A49" i="9" s="1"/>
  <c r="C61" i="9"/>
  <c r="C63" i="9" s="1"/>
  <c r="J119" i="6" l="1"/>
  <c r="E73" i="8"/>
  <c r="H118" i="6"/>
  <c r="I118" i="6" s="1"/>
  <c r="J118" i="6" s="1"/>
  <c r="H114" i="6"/>
  <c r="I114" i="6" s="1"/>
  <c r="J114" i="6" s="1"/>
  <c r="H113" i="6"/>
  <c r="I113" i="6" s="1"/>
  <c r="J113" i="6" s="1"/>
  <c r="H112" i="6"/>
  <c r="I112" i="6" s="1"/>
  <c r="H111" i="6"/>
  <c r="I111" i="6" s="1"/>
  <c r="H109" i="6"/>
  <c r="I109" i="6" s="1"/>
  <c r="H100" i="6"/>
  <c r="I100" i="6" s="1"/>
  <c r="H110" i="6"/>
  <c r="I110" i="6" s="1"/>
  <c r="H115" i="6"/>
  <c r="I115" i="6" s="1"/>
  <c r="H52" i="6"/>
  <c r="I52" i="6" s="1"/>
  <c r="L52" i="6" s="1"/>
  <c r="H26" i="6"/>
  <c r="I26" i="6" s="1"/>
  <c r="H77" i="6"/>
  <c r="I77" i="6" s="1"/>
  <c r="J77" i="6" s="1"/>
  <c r="H42" i="6"/>
  <c r="I42" i="6" s="1"/>
  <c r="H34" i="6"/>
  <c r="I34" i="6" s="1"/>
  <c r="K65" i="6"/>
  <c r="L65" i="6"/>
  <c r="J65" i="6"/>
  <c r="H43" i="6"/>
  <c r="I43" i="6" s="1"/>
  <c r="E32" i="8" s="1"/>
  <c r="H35" i="6"/>
  <c r="I35" i="6" s="1"/>
  <c r="E25" i="8" s="1"/>
  <c r="H27" i="6"/>
  <c r="I27" i="6" s="1"/>
  <c r="H51" i="6"/>
  <c r="I51" i="6" s="1"/>
  <c r="H64" i="6"/>
  <c r="I64" i="6" s="1"/>
  <c r="E27" i="7" s="1"/>
  <c r="H82" i="6"/>
  <c r="I82" i="6" s="1"/>
  <c r="J82" i="6" s="1"/>
  <c r="H20" i="6"/>
  <c r="I20" i="6" s="1"/>
  <c r="E13" i="8" s="1"/>
  <c r="H41" i="6"/>
  <c r="I41" i="6" s="1"/>
  <c r="H33" i="6"/>
  <c r="I33" i="6" s="1"/>
  <c r="H25" i="6"/>
  <c r="I25" i="6" s="1"/>
  <c r="E18" i="8" s="1"/>
  <c r="H63" i="6"/>
  <c r="I63" i="6" s="1"/>
  <c r="H72" i="6"/>
  <c r="I72" i="6" s="1"/>
  <c r="J72" i="6" s="1"/>
  <c r="H78" i="6"/>
  <c r="I78" i="6" s="1"/>
  <c r="J78" i="6" s="1"/>
  <c r="H81" i="6"/>
  <c r="I81" i="6" s="1"/>
  <c r="J81" i="6" s="1"/>
  <c r="H21" i="6"/>
  <c r="I21" i="6" s="1"/>
  <c r="E14" i="8" s="1"/>
  <c r="H40" i="6"/>
  <c r="I40" i="6" s="1"/>
  <c r="E30" i="8" s="1"/>
  <c r="H32" i="6"/>
  <c r="I32" i="6" s="1"/>
  <c r="H24" i="6"/>
  <c r="I24" i="6" s="1"/>
  <c r="H53" i="6"/>
  <c r="I53" i="6" s="1"/>
  <c r="H62" i="6"/>
  <c r="I62" i="6" s="1"/>
  <c r="H73" i="6"/>
  <c r="I73" i="6" s="1"/>
  <c r="J73" i="6" s="1"/>
  <c r="H80" i="6"/>
  <c r="I80" i="6" s="1"/>
  <c r="J80" i="6" s="1"/>
  <c r="H47" i="6"/>
  <c r="I47" i="6" s="1"/>
  <c r="E35" i="8" s="1"/>
  <c r="H39" i="6"/>
  <c r="I39" i="6" s="1"/>
  <c r="H31" i="6"/>
  <c r="I31" i="6" s="1"/>
  <c r="E23" i="8" s="1"/>
  <c r="H23" i="6"/>
  <c r="I23" i="6" s="1"/>
  <c r="E16" i="8" s="1"/>
  <c r="H60" i="6"/>
  <c r="I60" i="6" s="1"/>
  <c r="H79" i="6"/>
  <c r="I79" i="6" s="1"/>
  <c r="J79" i="6" s="1"/>
  <c r="H87" i="6"/>
  <c r="I87" i="6" s="1"/>
  <c r="J87" i="6" s="1"/>
  <c r="H46" i="6"/>
  <c r="I46" i="6" s="1"/>
  <c r="E34" i="8" s="1"/>
  <c r="H38" i="6"/>
  <c r="I38" i="6" s="1"/>
  <c r="H30" i="6"/>
  <c r="I30" i="6" s="1"/>
  <c r="E22" i="8" s="1"/>
  <c r="H22" i="6"/>
  <c r="I22" i="6" s="1"/>
  <c r="E15" i="8" s="1"/>
  <c r="H61" i="6"/>
  <c r="I61" i="6" s="1"/>
  <c r="H74" i="6"/>
  <c r="I74" i="6" s="1"/>
  <c r="J74" i="6" s="1"/>
  <c r="H84" i="6"/>
  <c r="I84" i="6" s="1"/>
  <c r="J84" i="6" s="1"/>
  <c r="H88" i="6"/>
  <c r="I88" i="6" s="1"/>
  <c r="J88" i="6" s="1"/>
  <c r="H45" i="6"/>
  <c r="I45" i="6" s="1"/>
  <c r="H37" i="6"/>
  <c r="I37" i="6" s="1"/>
  <c r="E27" i="8" s="1"/>
  <c r="H29" i="6"/>
  <c r="I29" i="6" s="1"/>
  <c r="E21" i="8" s="1"/>
  <c r="H50" i="6"/>
  <c r="I50" i="6" s="1"/>
  <c r="H83" i="6"/>
  <c r="I83" i="6" s="1"/>
  <c r="J83" i="6" s="1"/>
  <c r="H89" i="6"/>
  <c r="I89" i="6" s="1"/>
  <c r="J89" i="6" s="1"/>
  <c r="H44" i="6"/>
  <c r="I44" i="6" s="1"/>
  <c r="H36" i="6"/>
  <c r="I36" i="6" s="1"/>
  <c r="E26" i="8" s="1"/>
  <c r="H28" i="6"/>
  <c r="I28" i="6" s="1"/>
  <c r="E20" i="8" s="1"/>
  <c r="I22" i="10"/>
  <c r="J22" i="10" s="1"/>
  <c r="K22" i="10" s="1"/>
  <c r="I20" i="10"/>
  <c r="J20" i="10" s="1"/>
  <c r="K20" i="10" s="1"/>
  <c r="I21" i="10"/>
  <c r="J21" i="10" s="1"/>
  <c r="K21" i="10" s="1"/>
  <c r="H23" i="10"/>
  <c r="I19" i="10"/>
  <c r="G53" i="9"/>
  <c r="H53" i="9" s="1"/>
  <c r="I53" i="9" s="1"/>
  <c r="H22" i="9"/>
  <c r="H28" i="9"/>
  <c r="C62" i="9"/>
  <c r="I23" i="10" l="1"/>
  <c r="J109" i="6"/>
  <c r="E68" i="8"/>
  <c r="E41" i="8"/>
  <c r="E25" i="7"/>
  <c r="J115" i="6"/>
  <c r="E72" i="8"/>
  <c r="J111" i="6"/>
  <c r="E70" i="8"/>
  <c r="E23" i="7"/>
  <c r="E39" i="8"/>
  <c r="E42" i="8"/>
  <c r="E26" i="7"/>
  <c r="J110" i="6"/>
  <c r="E69" i="8"/>
  <c r="J112" i="6"/>
  <c r="E71" i="8"/>
  <c r="E40" i="8"/>
  <c r="E24" i="7"/>
  <c r="J100" i="6"/>
  <c r="E67" i="8"/>
  <c r="L34" i="6"/>
  <c r="E24" i="8"/>
  <c r="E19" i="7"/>
  <c r="E33" i="8"/>
  <c r="J42" i="6"/>
  <c r="E31" i="8"/>
  <c r="E18" i="7"/>
  <c r="E29" i="8"/>
  <c r="E16" i="7"/>
  <c r="E17" i="8"/>
  <c r="L26" i="6"/>
  <c r="E19" i="8"/>
  <c r="E28" i="8"/>
  <c r="E17" i="7"/>
  <c r="L42" i="6"/>
  <c r="J52" i="6"/>
  <c r="K42" i="6"/>
  <c r="K52" i="6"/>
  <c r="J34" i="6"/>
  <c r="K26" i="6"/>
  <c r="J26" i="6"/>
  <c r="K34" i="6"/>
  <c r="L50" i="6"/>
  <c r="K50" i="6"/>
  <c r="J50" i="6"/>
  <c r="J22" i="6"/>
  <c r="K22" i="6"/>
  <c r="L22" i="6"/>
  <c r="J31" i="6"/>
  <c r="L31" i="6"/>
  <c r="K31" i="6"/>
  <c r="J32" i="6"/>
  <c r="K32" i="6"/>
  <c r="L32" i="6"/>
  <c r="J33" i="6"/>
  <c r="K33" i="6"/>
  <c r="L33" i="6"/>
  <c r="J43" i="6"/>
  <c r="K43" i="6"/>
  <c r="L43" i="6"/>
  <c r="K29" i="6"/>
  <c r="L29" i="6"/>
  <c r="J29" i="6"/>
  <c r="K37" i="6"/>
  <c r="L37" i="6"/>
  <c r="J37" i="6"/>
  <c r="J38" i="6"/>
  <c r="K38" i="6"/>
  <c r="L38" i="6"/>
  <c r="J47" i="6"/>
  <c r="L47" i="6"/>
  <c r="K47" i="6"/>
  <c r="L21" i="6"/>
  <c r="K21" i="6"/>
  <c r="J21" i="6"/>
  <c r="L20" i="6"/>
  <c r="K20" i="6"/>
  <c r="J20" i="6"/>
  <c r="J41" i="6"/>
  <c r="K41" i="6"/>
  <c r="L41" i="6"/>
  <c r="K45" i="6"/>
  <c r="L45" i="6"/>
  <c r="J45" i="6"/>
  <c r="J46" i="6"/>
  <c r="K46" i="6"/>
  <c r="L46" i="6"/>
  <c r="L64" i="6"/>
  <c r="J64" i="6"/>
  <c r="K64" i="6"/>
  <c r="J30" i="6"/>
  <c r="K30" i="6"/>
  <c r="L30" i="6"/>
  <c r="J28" i="6"/>
  <c r="L28" i="6"/>
  <c r="K28" i="6"/>
  <c r="L44" i="6"/>
  <c r="J44" i="6"/>
  <c r="K44" i="6"/>
  <c r="L62" i="6"/>
  <c r="J62" i="6"/>
  <c r="K62" i="6"/>
  <c r="J51" i="6"/>
  <c r="L51" i="6"/>
  <c r="K51" i="6"/>
  <c r="K39" i="6"/>
  <c r="J39" i="6"/>
  <c r="L39" i="6"/>
  <c r="L36" i="6"/>
  <c r="J36" i="6"/>
  <c r="K36" i="6"/>
  <c r="J53" i="6"/>
  <c r="K53" i="6"/>
  <c r="L53" i="6"/>
  <c r="J63" i="6"/>
  <c r="K63" i="6"/>
  <c r="L63" i="6"/>
  <c r="J27" i="6"/>
  <c r="K27" i="6"/>
  <c r="L27" i="6"/>
  <c r="J40" i="6"/>
  <c r="K40" i="6"/>
  <c r="L40" i="6"/>
  <c r="L60" i="6"/>
  <c r="K60" i="6"/>
  <c r="J60" i="6"/>
  <c r="L61" i="6"/>
  <c r="K61" i="6"/>
  <c r="J61" i="6"/>
  <c r="K23" i="6"/>
  <c r="J23" i="6"/>
  <c r="L23" i="6"/>
  <c r="J24" i="6"/>
  <c r="K24" i="6"/>
  <c r="L24" i="6"/>
  <c r="J25" i="6"/>
  <c r="K25" i="6"/>
  <c r="L25" i="6"/>
  <c r="J35" i="6"/>
  <c r="K35" i="6"/>
  <c r="L35" i="6"/>
  <c r="J19" i="10"/>
  <c r="C44" i="4"/>
  <c r="K19" i="10" l="1"/>
  <c r="K23" i="10" s="1"/>
  <c r="K26" i="10" s="1"/>
  <c r="J23" i="10"/>
  <c r="A6" i="4"/>
  <c r="A5" i="4"/>
  <c r="F7" i="5"/>
  <c r="F6" i="5"/>
  <c r="F5" i="5"/>
  <c r="A10" i="5"/>
  <c r="A9" i="5"/>
  <c r="Q22" i="1" l="1"/>
  <c r="Q21" i="1"/>
  <c r="Q20" i="1"/>
  <c r="A46" i="1"/>
  <c r="A45" i="1"/>
  <c r="A44" i="1"/>
  <c r="E41" i="1"/>
  <c r="G75" i="6"/>
  <c r="G90" i="6"/>
  <c r="G85" i="6"/>
  <c r="A27" i="7"/>
  <c r="B27" i="7"/>
  <c r="A71" i="8"/>
  <c r="A59" i="8"/>
  <c r="A52" i="8"/>
  <c r="A51" i="8"/>
  <c r="A55" i="8"/>
  <c r="A56" i="8"/>
  <c r="A57" i="8"/>
  <c r="A58" i="8"/>
  <c r="A54" i="8"/>
  <c r="A53" i="8"/>
  <c r="C39" i="8"/>
  <c r="C40" i="8"/>
  <c r="C41" i="8"/>
  <c r="C42" i="8"/>
  <c r="C43" i="8"/>
  <c r="A43" i="8"/>
  <c r="B43" i="8"/>
  <c r="A42" i="8"/>
  <c r="B42" i="8"/>
  <c r="A41" i="8"/>
  <c r="B41" i="8"/>
  <c r="A40" i="8"/>
  <c r="B40" i="8"/>
  <c r="B39" i="8"/>
  <c r="A39" i="8"/>
  <c r="A35" i="8"/>
  <c r="A34" i="8"/>
  <c r="A33" i="8"/>
  <c r="A32" i="8"/>
  <c r="A31" i="8"/>
  <c r="A30" i="8"/>
  <c r="A29" i="8"/>
  <c r="A28" i="8"/>
  <c r="A27" i="8"/>
  <c r="A26" i="8"/>
  <c r="A25" i="8"/>
  <c r="A24" i="8"/>
  <c r="A23" i="8"/>
  <c r="A22" i="8"/>
  <c r="A21" i="8"/>
  <c r="A20" i="8"/>
  <c r="A15" i="8"/>
  <c r="A16" i="8"/>
  <c r="A17" i="8"/>
  <c r="A18" i="8"/>
  <c r="A19" i="8"/>
  <c r="A14" i="8"/>
  <c r="A13" i="8"/>
  <c r="D60" i="9"/>
  <c r="C13" i="9"/>
  <c r="D13" i="9" s="1"/>
  <c r="C12" i="9"/>
  <c r="D12" i="9" s="1"/>
  <c r="C11" i="9"/>
  <c r="D11" i="9" s="1"/>
  <c r="B13" i="9"/>
  <c r="B46" i="9" s="1"/>
  <c r="B55" i="9" s="1"/>
  <c r="B12" i="9"/>
  <c r="B45" i="9" s="1"/>
  <c r="B54" i="9" s="1"/>
  <c r="B11" i="9"/>
  <c r="B44" i="9" s="1"/>
  <c r="B53" i="9" s="1"/>
  <c r="A13" i="9"/>
  <c r="A46" i="9" s="1"/>
  <c r="A55" i="9" s="1"/>
  <c r="A12" i="9"/>
  <c r="A45" i="9" s="1"/>
  <c r="A54" i="9" s="1"/>
  <c r="A11" i="9"/>
  <c r="A44" i="9" s="1"/>
  <c r="A53" i="9" s="1"/>
  <c r="E71" i="9"/>
  <c r="B73" i="8"/>
  <c r="A73" i="8"/>
  <c r="B72" i="8"/>
  <c r="A72" i="8"/>
  <c r="B71" i="8"/>
  <c r="B70" i="8"/>
  <c r="A70" i="8"/>
  <c r="B69" i="8"/>
  <c r="A69" i="8"/>
  <c r="B68" i="8"/>
  <c r="A68" i="8"/>
  <c r="B67" i="8"/>
  <c r="A67" i="8"/>
  <c r="E52" i="8"/>
  <c r="B52" i="8"/>
  <c r="E51" i="8"/>
  <c r="B51" i="8"/>
  <c r="E59" i="8"/>
  <c r="B59" i="8"/>
  <c r="E58" i="8"/>
  <c r="B58" i="8"/>
  <c r="E57" i="8"/>
  <c r="B57" i="8"/>
  <c r="E56" i="8"/>
  <c r="B56" i="8"/>
  <c r="E55" i="8"/>
  <c r="B55" i="8"/>
  <c r="E54" i="8"/>
  <c r="B54" i="8"/>
  <c r="E53" i="8"/>
  <c r="B53" i="8"/>
  <c r="C35" i="8"/>
  <c r="B35" i="8"/>
  <c r="C34" i="8"/>
  <c r="B34" i="8"/>
  <c r="C33" i="8"/>
  <c r="B33" i="8"/>
  <c r="C32" i="8"/>
  <c r="B32" i="8"/>
  <c r="C31" i="8"/>
  <c r="B31" i="8"/>
  <c r="C30" i="8"/>
  <c r="B30" i="8"/>
  <c r="C29" i="8"/>
  <c r="B29" i="8"/>
  <c r="C28" i="8"/>
  <c r="B28" i="8"/>
  <c r="C27" i="8"/>
  <c r="B27" i="8"/>
  <c r="C26" i="8"/>
  <c r="B26" i="8"/>
  <c r="C25" i="8"/>
  <c r="B25" i="8"/>
  <c r="C24" i="8"/>
  <c r="B24" i="8"/>
  <c r="C23" i="8"/>
  <c r="B23" i="8"/>
  <c r="C22" i="8"/>
  <c r="B22" i="8"/>
  <c r="C21" i="8"/>
  <c r="B21" i="8"/>
  <c r="C20" i="8"/>
  <c r="B20" i="8"/>
  <c r="C19" i="8"/>
  <c r="B19" i="8"/>
  <c r="C18" i="8"/>
  <c r="B18" i="8"/>
  <c r="C17" i="8"/>
  <c r="B17" i="8"/>
  <c r="C16" i="8"/>
  <c r="B16" i="8"/>
  <c r="C15" i="8"/>
  <c r="B15" i="8"/>
  <c r="C14" i="8"/>
  <c r="B14" i="8"/>
  <c r="C13" i="8"/>
  <c r="B13" i="8"/>
  <c r="A11" i="8"/>
  <c r="C27" i="7"/>
  <c r="C26" i="7"/>
  <c r="B26" i="7"/>
  <c r="A26" i="7"/>
  <c r="C25" i="7"/>
  <c r="B25" i="7"/>
  <c r="A25" i="7"/>
  <c r="C24" i="7"/>
  <c r="B24" i="7"/>
  <c r="A24" i="7"/>
  <c r="C23" i="7"/>
  <c r="B23" i="7"/>
  <c r="A23" i="7"/>
  <c r="C19" i="7"/>
  <c r="B19" i="7"/>
  <c r="A19" i="7"/>
  <c r="C18" i="7"/>
  <c r="B18" i="7"/>
  <c r="A18" i="7"/>
  <c r="C17" i="7"/>
  <c r="B17" i="7"/>
  <c r="A17" i="7"/>
  <c r="C16" i="7"/>
  <c r="B16" i="7"/>
  <c r="A16" i="7"/>
  <c r="A6" i="9"/>
  <c r="A5" i="9"/>
  <c r="A3" i="9"/>
  <c r="A2" i="9"/>
  <c r="A1" i="9"/>
  <c r="A5" i="8"/>
  <c r="A6" i="8"/>
  <c r="A3" i="8"/>
  <c r="A2" i="8"/>
  <c r="A1" i="8"/>
  <c r="A6" i="7"/>
  <c r="A5" i="7"/>
  <c r="A5" i="6"/>
  <c r="A6" i="6"/>
  <c r="A3" i="7"/>
  <c r="A2" i="7"/>
  <c r="A1" i="7"/>
  <c r="A3" i="6"/>
  <c r="A2" i="6"/>
  <c r="A1" i="6"/>
  <c r="A3" i="5"/>
  <c r="A2" i="5"/>
  <c r="A1" i="5"/>
  <c r="A3" i="4"/>
  <c r="A2" i="4"/>
  <c r="A1" i="4"/>
  <c r="F34" i="9" l="1"/>
  <c r="D62" i="9"/>
  <c r="B29" i="9"/>
  <c r="A29" i="9"/>
  <c r="F28" i="9"/>
  <c r="F22" i="9"/>
  <c r="B18" i="9"/>
  <c r="A17" i="9"/>
  <c r="F16" i="9"/>
  <c r="B37" i="9"/>
  <c r="A25" i="9"/>
  <c r="B36" i="9"/>
  <c r="A24" i="9"/>
  <c r="B35" i="9"/>
  <c r="A23" i="9"/>
  <c r="F73" i="8"/>
  <c r="F72" i="8"/>
  <c r="F71" i="8"/>
  <c r="F70" i="8"/>
  <c r="F69" i="8"/>
  <c r="F68" i="8"/>
  <c r="F67" i="8"/>
  <c r="F52" i="8"/>
  <c r="F51" i="8"/>
  <c r="F59" i="8"/>
  <c r="F58" i="8"/>
  <c r="F57" i="8"/>
  <c r="F56" i="8"/>
  <c r="F55" i="8"/>
  <c r="F54" i="8"/>
  <c r="F53" i="8"/>
  <c r="F43" i="8"/>
  <c r="F42" i="8"/>
  <c r="F41" i="8"/>
  <c r="F40" i="8"/>
  <c r="F39" i="8"/>
  <c r="F35" i="8"/>
  <c r="F34" i="8"/>
  <c r="F33" i="8"/>
  <c r="F32" i="8"/>
  <c r="F31" i="8"/>
  <c r="F30" i="8"/>
  <c r="F29" i="8"/>
  <c r="F28" i="8"/>
  <c r="F27" i="8"/>
  <c r="F26" i="8"/>
  <c r="F25" i="8"/>
  <c r="F24" i="8"/>
  <c r="F23" i="8"/>
  <c r="F22" i="8"/>
  <c r="F21" i="8"/>
  <c r="F20" i="8"/>
  <c r="F19" i="8"/>
  <c r="F18" i="8"/>
  <c r="F17" i="8"/>
  <c r="F16" i="8"/>
  <c r="F15" i="8"/>
  <c r="F14" i="8"/>
  <c r="F13" i="8"/>
  <c r="F27" i="7"/>
  <c r="F26" i="7"/>
  <c r="F25" i="7"/>
  <c r="F24" i="7"/>
  <c r="F23" i="7"/>
  <c r="F19" i="7"/>
  <c r="F18" i="7"/>
  <c r="F17" i="7"/>
  <c r="F16" i="7"/>
  <c r="F119" i="6"/>
  <c r="F118" i="6"/>
  <c r="F115" i="6"/>
  <c r="F114" i="6"/>
  <c r="F113" i="6"/>
  <c r="F112" i="6"/>
  <c r="F111" i="6"/>
  <c r="F110" i="6"/>
  <c r="F109" i="6"/>
  <c r="G104" i="6"/>
  <c r="F104" i="6"/>
  <c r="F100" i="6"/>
  <c r="F44" i="5"/>
  <c r="C43" i="5"/>
  <c r="F42" i="5"/>
  <c r="F41" i="5"/>
  <c r="C39" i="5"/>
  <c r="F38" i="5"/>
  <c r="F37" i="5"/>
  <c r="F36" i="5"/>
  <c r="F34" i="5"/>
  <c r="F29" i="5"/>
  <c r="F28" i="5"/>
  <c r="F27" i="5"/>
  <c r="F26" i="5"/>
  <c r="F20" i="5"/>
  <c r="F22" i="5" s="1"/>
  <c r="C44" i="1" s="1"/>
  <c r="E53" i="4"/>
  <c r="E42" i="4"/>
  <c r="E41" i="4"/>
  <c r="E40" i="4"/>
  <c r="E39" i="4"/>
  <c r="E38" i="4"/>
  <c r="E37" i="4"/>
  <c r="G37" i="4" s="1"/>
  <c r="E36" i="4"/>
  <c r="G36" i="4" s="1"/>
  <c r="E35" i="4"/>
  <c r="G35" i="4" s="1"/>
  <c r="E34" i="4"/>
  <c r="E33" i="4"/>
  <c r="G32" i="4"/>
  <c r="E32" i="4"/>
  <c r="G31" i="4"/>
  <c r="E31" i="4"/>
  <c r="E30" i="4"/>
  <c r="E29" i="4"/>
  <c r="E28" i="4"/>
  <c r="E27" i="4"/>
  <c r="G27" i="4" s="1"/>
  <c r="E26" i="4"/>
  <c r="G26" i="4" s="1"/>
  <c r="E25" i="4"/>
  <c r="G24" i="4"/>
  <c r="E24" i="4"/>
  <c r="E23" i="4"/>
  <c r="G23" i="4" s="1"/>
  <c r="E22" i="4"/>
  <c r="E21" i="4"/>
  <c r="E20" i="4"/>
  <c r="E19" i="4"/>
  <c r="E18" i="4"/>
  <c r="G18" i="4" s="1"/>
  <c r="E17" i="4"/>
  <c r="G17" i="4" s="1"/>
  <c r="E16" i="4"/>
  <c r="G16" i="4" s="1"/>
  <c r="E15" i="4"/>
  <c r="G15" i="4" s="1"/>
  <c r="E14" i="4"/>
  <c r="E13" i="4"/>
  <c r="E12" i="4"/>
  <c r="E11" i="4"/>
  <c r="G11" i="4" s="1"/>
  <c r="C37" i="1"/>
  <c r="B37" i="1"/>
  <c r="A37" i="1"/>
  <c r="C34" i="1"/>
  <c r="B34" i="1"/>
  <c r="A34" i="1"/>
  <c r="C33" i="1"/>
  <c r="B33" i="1"/>
  <c r="A33" i="1"/>
  <c r="C32" i="1"/>
  <c r="B32" i="1"/>
  <c r="A32" i="1"/>
  <c r="C31" i="1"/>
  <c r="D25" i="1"/>
  <c r="M25" i="1" s="1"/>
  <c r="D22" i="1"/>
  <c r="D21" i="1"/>
  <c r="D20" i="1"/>
  <c r="F43" i="5" l="1"/>
  <c r="F39" i="5"/>
  <c r="M22" i="1"/>
  <c r="E20" i="1"/>
  <c r="F39" i="4" s="1"/>
  <c r="G39" i="4" s="1"/>
  <c r="F14" i="4"/>
  <c r="G14" i="4" s="1"/>
  <c r="F12" i="4"/>
  <c r="G12" i="4" s="1"/>
  <c r="F42" i="4"/>
  <c r="G42" i="4" s="1"/>
  <c r="C17" i="9"/>
  <c r="D17" i="9" s="1"/>
  <c r="H104" i="6"/>
  <c r="I104" i="6" s="1"/>
  <c r="J104" i="6" s="1"/>
  <c r="J105" i="6" s="1"/>
  <c r="L54" i="6"/>
  <c r="J54" i="6"/>
  <c r="J120" i="6"/>
  <c r="K66" i="6"/>
  <c r="K69" i="6" s="1"/>
  <c r="L66" i="6"/>
  <c r="L69" i="6" s="1"/>
  <c r="F44" i="8"/>
  <c r="F28" i="7"/>
  <c r="F36" i="8"/>
  <c r="J101" i="6"/>
  <c r="J85" i="6"/>
  <c r="K54" i="6"/>
  <c r="L48" i="6"/>
  <c r="K48" i="6"/>
  <c r="F46" i="5"/>
  <c r="C46" i="1" s="1"/>
  <c r="F31" i="5"/>
  <c r="C45" i="1" s="1"/>
  <c r="G22" i="4"/>
  <c r="G25" i="4"/>
  <c r="G13" i="4"/>
  <c r="G30" i="4"/>
  <c r="G33" i="4"/>
  <c r="G20" i="4"/>
  <c r="G34" i="4"/>
  <c r="E44" i="4"/>
  <c r="G21" i="4"/>
  <c r="G38" i="4"/>
  <c r="G41" i="4"/>
  <c r="E25" i="1"/>
  <c r="L20" i="1"/>
  <c r="E22" i="1"/>
  <c r="F53" i="4" s="1"/>
  <c r="G53" i="4" s="1"/>
  <c r="H25" i="1"/>
  <c r="B30" i="9"/>
  <c r="D61" i="9"/>
  <c r="A31" i="9"/>
  <c r="D64" i="9"/>
  <c r="E64" i="9" s="1"/>
  <c r="F64" i="9" s="1"/>
  <c r="E62" i="9"/>
  <c r="F62" i="9" s="1"/>
  <c r="B17" i="9"/>
  <c r="A18" i="9"/>
  <c r="D63" i="9"/>
  <c r="A19" i="9"/>
  <c r="B25" i="9"/>
  <c r="B19" i="9"/>
  <c r="A30" i="9"/>
  <c r="B31" i="9"/>
  <c r="B23" i="9"/>
  <c r="B24" i="9"/>
  <c r="F74" i="8"/>
  <c r="F76" i="8" s="1"/>
  <c r="R25" i="1" s="1"/>
  <c r="F60" i="8"/>
  <c r="F62" i="8" s="1"/>
  <c r="F20" i="7"/>
  <c r="J75" i="6"/>
  <c r="J90" i="6"/>
  <c r="J116" i="6"/>
  <c r="J48" i="6"/>
  <c r="J66" i="6"/>
  <c r="J69" i="6" s="1"/>
  <c r="H22" i="1"/>
  <c r="C46" i="9" s="1"/>
  <c r="H21" i="1"/>
  <c r="C45" i="9" s="1"/>
  <c r="D45" i="9" s="1"/>
  <c r="E45" i="9" s="1"/>
  <c r="K25" i="1"/>
  <c r="E21" i="1"/>
  <c r="F47" i="4" s="1"/>
  <c r="G47" i="4" s="1"/>
  <c r="H20" i="1"/>
  <c r="C44" i="9" s="1"/>
  <c r="K22" i="1"/>
  <c r="L25" i="1"/>
  <c r="M20" i="1"/>
  <c r="K21" i="1"/>
  <c r="L22" i="1"/>
  <c r="K20" i="1"/>
  <c r="L21" i="1"/>
  <c r="M21" i="1"/>
  <c r="C47" i="1" l="1"/>
  <c r="D46" i="9"/>
  <c r="E46" i="9" s="1"/>
  <c r="F29" i="4"/>
  <c r="G29" i="4" s="1"/>
  <c r="C35" i="9"/>
  <c r="C23" i="9"/>
  <c r="C29" i="9"/>
  <c r="F28" i="4"/>
  <c r="G28" i="4" s="1"/>
  <c r="C18" i="9"/>
  <c r="F19" i="4"/>
  <c r="G19" i="4" s="1"/>
  <c r="C19" i="9"/>
  <c r="D19" i="9" s="1"/>
  <c r="F40" i="4"/>
  <c r="G40" i="4" s="1"/>
  <c r="D44" i="9"/>
  <c r="E44" i="9" s="1"/>
  <c r="K57" i="6"/>
  <c r="J57" i="6"/>
  <c r="L57" i="6"/>
  <c r="J124" i="6"/>
  <c r="J21" i="1"/>
  <c r="F30" i="7"/>
  <c r="C41" i="1" s="1"/>
  <c r="G41" i="1" s="1"/>
  <c r="J22" i="1"/>
  <c r="J25" i="1"/>
  <c r="F46" i="8"/>
  <c r="T25" i="1" s="1"/>
  <c r="E37" i="1" s="1"/>
  <c r="J92" i="6"/>
  <c r="K95" i="6" s="1"/>
  <c r="T21" i="1" s="1"/>
  <c r="E33" i="1" s="1"/>
  <c r="E61" i="9"/>
  <c r="F61" i="9" s="1"/>
  <c r="E63" i="9"/>
  <c r="F63" i="9" s="1"/>
  <c r="J122" i="6"/>
  <c r="R22" i="1" s="1"/>
  <c r="F21" i="1"/>
  <c r="G21" i="1" s="1"/>
  <c r="P21" i="1" l="1"/>
  <c r="F54" i="9"/>
  <c r="G54" i="9" s="1"/>
  <c r="H54" i="9" s="1"/>
  <c r="I54" i="9" s="1"/>
  <c r="D18" i="9"/>
  <c r="D29" i="9"/>
  <c r="E29" i="9" s="1"/>
  <c r="F29" i="9" s="1"/>
  <c r="G29" i="9" s="1"/>
  <c r="H29" i="9" s="1"/>
  <c r="I29" i="9" s="1"/>
  <c r="D35" i="9"/>
  <c r="E35" i="9" s="1"/>
  <c r="F35" i="9" s="1"/>
  <c r="G35" i="9" s="1"/>
  <c r="D23" i="9"/>
  <c r="G44" i="4"/>
  <c r="J20" i="1" s="1"/>
  <c r="E17" i="9"/>
  <c r="F17" i="9" s="1"/>
  <c r="G17" i="9" s="1"/>
  <c r="H17" i="9" s="1"/>
  <c r="I17" i="9" s="1"/>
  <c r="C31" i="9"/>
  <c r="C25" i="9"/>
  <c r="C37" i="9"/>
  <c r="F55" i="9"/>
  <c r="G55" i="9" s="1"/>
  <c r="C36" i="9"/>
  <c r="C24" i="9"/>
  <c r="D24" i="9" s="1"/>
  <c r="C30" i="9"/>
  <c r="R21" i="1"/>
  <c r="R20" i="1"/>
  <c r="J95" i="6"/>
  <c r="T20" i="1" s="1"/>
  <c r="E32" i="1" s="1"/>
  <c r="L95" i="6"/>
  <c r="T22" i="1" s="1"/>
  <c r="E34" i="1" s="1"/>
  <c r="G25" i="1"/>
  <c r="F20" i="1"/>
  <c r="G20" i="1" s="1"/>
  <c r="F22" i="1"/>
  <c r="S21" i="1" l="1"/>
  <c r="U21" i="1" s="1"/>
  <c r="P20" i="1"/>
  <c r="S20" i="1" s="1"/>
  <c r="U20" i="1" s="1"/>
  <c r="G22" i="1"/>
  <c r="P25" i="1"/>
  <c r="S25" i="1" s="1"/>
  <c r="E23" i="9"/>
  <c r="F23" i="9" s="1"/>
  <c r="G23" i="9" s="1"/>
  <c r="H23" i="9" s="1"/>
  <c r="I23" i="9" s="1"/>
  <c r="D30" i="9"/>
  <c r="D36" i="9"/>
  <c r="E36" i="9" s="1"/>
  <c r="F36" i="9" s="1"/>
  <c r="G36" i="9" s="1"/>
  <c r="H36" i="9" s="1"/>
  <c r="I36" i="9" s="1"/>
  <c r="D25" i="9"/>
  <c r="E25" i="9" s="1"/>
  <c r="F25" i="9" s="1"/>
  <c r="G25" i="9" s="1"/>
  <c r="H25" i="9" s="1"/>
  <c r="I25" i="9" s="1"/>
  <c r="D31" i="9"/>
  <c r="D37" i="9"/>
  <c r="H55" i="9"/>
  <c r="I55" i="9" s="1"/>
  <c r="E18" i="9"/>
  <c r="F18" i="9" s="1"/>
  <c r="G18" i="9" s="1"/>
  <c r="H18" i="9" s="1"/>
  <c r="I18" i="9" s="1"/>
  <c r="E19" i="9"/>
  <c r="F19" i="9" s="1"/>
  <c r="G19" i="9" s="1"/>
  <c r="H19" i="9" s="1"/>
  <c r="I19" i="9" s="1"/>
  <c r="E24" i="9"/>
  <c r="F24" i="9" s="1"/>
  <c r="G24" i="9" s="1"/>
  <c r="H24" i="9" s="1"/>
  <c r="I24" i="9" s="1"/>
  <c r="H35" i="9"/>
  <c r="I35" i="9" s="1"/>
  <c r="U25" i="1" l="1"/>
  <c r="F37" i="1" s="1"/>
  <c r="O37" i="1" s="1"/>
  <c r="D37" i="1"/>
  <c r="H37" i="1" s="1"/>
  <c r="P22" i="1"/>
  <c r="S22" i="1" s="1"/>
  <c r="F32" i="1"/>
  <c r="I32" i="1" s="1"/>
  <c r="D32" i="1"/>
  <c r="H32" i="1" s="1"/>
  <c r="F33" i="1"/>
  <c r="I33" i="1" s="1"/>
  <c r="D33" i="1"/>
  <c r="H33" i="1" s="1"/>
  <c r="E30" i="9"/>
  <c r="F30" i="9" s="1"/>
  <c r="E31" i="9"/>
  <c r="F31" i="9" s="1"/>
  <c r="G31" i="9" s="1"/>
  <c r="H31" i="9" s="1"/>
  <c r="I31" i="9" s="1"/>
  <c r="E37" i="9"/>
  <c r="F37" i="9" s="1"/>
  <c r="G37" i="9" s="1"/>
  <c r="H37" i="9" s="1"/>
  <c r="I37" i="9" s="1"/>
  <c r="I37" i="1" l="1"/>
  <c r="P37" i="1" s="1"/>
  <c r="U22" i="1"/>
  <c r="F34" i="1" s="1"/>
  <c r="D34" i="1"/>
  <c r="H34" i="1" s="1"/>
  <c r="H35" i="1" s="1"/>
  <c r="O32" i="1"/>
  <c r="P32" i="1" s="1"/>
  <c r="O33" i="1"/>
  <c r="P33" i="1" s="1"/>
  <c r="G30" i="9"/>
  <c r="H30" i="9" s="1"/>
  <c r="I30" i="9" s="1"/>
  <c r="O34" i="1" l="1"/>
  <c r="I34" i="1"/>
  <c r="I35" i="1" l="1"/>
  <c r="P34" i="1"/>
  <c r="P35" i="1" s="1"/>
  <c r="P38" i="1" s="1"/>
  <c r="M47" i="1" s="1"/>
</calcChain>
</file>

<file path=xl/sharedStrings.xml><?xml version="1.0" encoding="utf-8"?>
<sst xmlns="http://schemas.openxmlformats.org/spreadsheetml/2006/main" count="861" uniqueCount="554">
  <si>
    <t>TRIBUNAL REGIONAL ELEITORAL DO PARANÁ</t>
  </si>
  <si>
    <t>PLANILHA DE FORMAÇÃO DE CUSTOS E PREÇOS - Estimativa TRE-PR</t>
  </si>
  <si>
    <t>PAD:</t>
  </si>
  <si>
    <t>6181/2023</t>
  </si>
  <si>
    <t>Licitação</t>
  </si>
  <si>
    <t>Data Proposta:</t>
  </si>
  <si>
    <t>EMPRESA</t>
  </si>
  <si>
    <t>CNPJ</t>
  </si>
  <si>
    <t>ITEM</t>
  </si>
  <si>
    <t>DESCRIÇÃO DO SERVIÇO</t>
  </si>
  <si>
    <t>MONTANTE A</t>
  </si>
  <si>
    <t>MONTANTE B</t>
  </si>
  <si>
    <t>SALÁRIO</t>
  </si>
  <si>
    <t xml:space="preserve">CUMULAÇÃO DE FUNÇÃO </t>
  </si>
  <si>
    <t>ENCARGOS SOCIAIS
(Vide Aba)</t>
  </si>
  <si>
    <t>VALE ALIMENTAÇÃO 
(CCT 2023, 13ª, caput, §1º)</t>
  </si>
  <si>
    <t>VALE TRANSPORTE 
(Vide planilha V.T.)</t>
  </si>
  <si>
    <t>BENEFÍCIO ASSISTÊNCIA MÉDICA 
(CCT 2023, 16ª)</t>
  </si>
  <si>
    <t>BENEFÍCIO SOCIAL FAMILIAR 
(CCT 2023, 17ª)</t>
  </si>
  <si>
    <t>FUNDO DE FORMAÇÃO PROFISSIONAL (CCT 2023, 23ª)</t>
  </si>
  <si>
    <t>INSUMOS</t>
  </si>
  <si>
    <t>Valor Mensal</t>
  </si>
  <si>
    <t>Desc. PAT (%)</t>
  </si>
  <si>
    <t>MATERIAIS</t>
  </si>
  <si>
    <t>UNIFORMES</t>
  </si>
  <si>
    <t>CBO: 5134-20</t>
  </si>
  <si>
    <t>Horas</t>
  </si>
  <si>
    <t>Postos de Trabalho</t>
  </si>
  <si>
    <t>Auxiliar de limpeza - Demais Fóruns Eleitorais</t>
  </si>
  <si>
    <t>Instrumento Coletiva de Trabalho utilizado como referência:</t>
  </si>
  <si>
    <t>Vigência e Data Base:</t>
  </si>
  <si>
    <t>Resumo Contratual</t>
  </si>
  <si>
    <t>Quant. de Postos</t>
  </si>
  <si>
    <t>Início Vigência</t>
  </si>
  <si>
    <t>Fim da Vigência</t>
  </si>
  <si>
    <t>Vigência meses cheios</t>
  </si>
  <si>
    <t>Vigência Pro Rata - dias*</t>
  </si>
  <si>
    <t>Soma por Posto</t>
  </si>
  <si>
    <t>Pacote Adicional</t>
  </si>
  <si>
    <t>Valor Unitário</t>
  </si>
  <si>
    <t>Unidades  Máximas Estimadas</t>
  </si>
  <si>
    <t>Total máximo estimado</t>
  </si>
  <si>
    <t>Pacote de Insumos de Limpeza e Copa para períodos extraordinários</t>
  </si>
  <si>
    <t>Serviços Sob Demanda</t>
  </si>
  <si>
    <t>Valor Total Estimado</t>
  </si>
  <si>
    <t>Observações</t>
  </si>
  <si>
    <t>Valores expressos em reais (R$).</t>
  </si>
  <si>
    <t>SERVIÇOS DE LIMPEZA EM ALTURA</t>
  </si>
  <si>
    <t>MANUTENÇÃO DE ÁREAS VERDES - SOLO</t>
  </si>
  <si>
    <t>MANUTENÇÃO DE ÁREAS VERDES - PODA, REMOÇÃO E DESTINAÇÃO</t>
  </si>
  <si>
    <t>Optante pela desoneração da folha de pagamento?
(Lei 12.546/2011)</t>
  </si>
  <si>
    <t>Sim</t>
  </si>
  <si>
    <t>Não</t>
  </si>
  <si>
    <t>ENCARGOS SOCIAIS E TRABALHISTAS</t>
  </si>
  <si>
    <t xml:space="preserve">SUBMÓDULO 1 - Encargos Previdenciários e FGTS </t>
  </si>
  <si>
    <t>%</t>
  </si>
  <si>
    <t>FUNDAMENTO LEGAL</t>
  </si>
  <si>
    <t>MEMÓRIA DE CÁLCULO</t>
  </si>
  <si>
    <t>INSS</t>
  </si>
  <si>
    <t xml:space="preserve">Art. 22, inciso I, da Lei 8.212/91. </t>
  </si>
  <si>
    <t>SESI / SESC</t>
  </si>
  <si>
    <t>Art. 30 da Lei 8.036/90.</t>
  </si>
  <si>
    <t>INCRA</t>
  </si>
  <si>
    <t>Art. 1º, inciso I, do Decreto Lei nº 1.146/70.</t>
  </si>
  <si>
    <t>SENAI / SENAC</t>
  </si>
  <si>
    <t>Decreto nº 2.318/86.</t>
  </si>
  <si>
    <t>Salário Educação</t>
  </si>
  <si>
    <t>Art. 3º, inciso I, do Decreto nº 87.043/82; art. 15, de Lei nº 9424/96; e art 2º, do Decreto nº 3412/99.</t>
  </si>
  <si>
    <t>SEBRAE</t>
  </si>
  <si>
    <t>Art. 8º da Lei 8.029/90, alterada pela Lei nº 8.154/90.</t>
  </si>
  <si>
    <t>RAT
(%)</t>
  </si>
  <si>
    <t>FAP
(Fator)</t>
  </si>
  <si>
    <t>RAT Ajustado</t>
  </si>
  <si>
    <t>Art. 22, inciso II, alineas "b" e "c" da Lei 8.212/91; Decreto nº 6042/07; Anexo da Resolução MPS/CNPS nº 1.329/17 (Fator Acidentário de Prevenção - FAP). 
Alíquotas do RAT de 1%, 2% ou 3%, pondendo ser reduzida pela metade ou acrescida em até 100% pelo FAP.</t>
  </si>
  <si>
    <t>FGTS</t>
  </si>
  <si>
    <t>Art. 15 da Lei. 8036/90 e art 7º, inciso III, da Constituição Federal de 05/10/88.</t>
  </si>
  <si>
    <t>8% sobre a remuneração.</t>
  </si>
  <si>
    <t>Total do SUBMÓDULO 1:</t>
  </si>
  <si>
    <t>SUBMÓDULO 2 - 13º Salário e Adicional de Férias</t>
  </si>
  <si>
    <t>Adicional de Férias</t>
  </si>
  <si>
    <t>A Constituição Federal no Art. 7º inciso XVII, dispõe que é direito do trabalhador o "gozo de férias anuais remuneradas com, pelo menos, um terço a mais do que o salário normal".</t>
  </si>
  <si>
    <t>13º Salário</t>
  </si>
  <si>
    <t xml:space="preserve">A constituição Federal no Art.  7º inciso XIII, prevê o décimo terceiro salário com base na remuneração integral. Portanto, cada trabalhador faz jus a um salário por ano a esse título. </t>
  </si>
  <si>
    <t xml:space="preserve">Subtotal </t>
  </si>
  <si>
    <t>Total do SUBMÓDULO 2:</t>
  </si>
  <si>
    <t xml:space="preserve">SUBMÓDULO 3 -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</si>
  <si>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</si>
  <si>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Súmula nº 305/TST e Acórdão TCU 2.217/2010 - Plenário.</t>
  </si>
  <si>
    <t xml:space="preserve">Refere-se à indenização de sete dias corridos devida ao empregado no caso de o empregador rescindir o contrato sem justo motivo e conceder aviso prévio, conforme disposto no art. 488 da CLT.  (Acordão TCU 1186/2017). </t>
  </si>
  <si>
    <t>Multa do FGTS sobre Rescisão sem Justa Causa</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</si>
  <si>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</si>
  <si>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Total do SUBMÓDULO 4:</t>
  </si>
  <si>
    <t>SUBMÓDULO 4 - Custo de Reposição do Profissional Ausente</t>
  </si>
  <si>
    <t>Afastamento de 30 dias, sem prejuizo da remuneração, após cada período de 12 meses de vigência do contrato de trabalho. O pagamento ocorre conforme preceitua o art. 129 e o inc. I art. 130, CLT; e art. 7º, inciso XVII, CF.</t>
  </si>
  <si>
    <t>Licença Maternidade</t>
  </si>
  <si>
    <t xml:space="preserve">Art. 7º inc. XVIII, CF, Lei 8.213/91, art. 72 e Lei 11770/2008. Lei n. 13.527/2016. Art. 86 da IN RFB
971/2009
Conforme cálculo estatísitico do Manual de Preenchimento da Planilha de Custos e Formação de Preços do STJ.  </t>
  </si>
  <si>
    <t>Licença Paternidade</t>
  </si>
  <si>
    <t>Criada pelo art. 7º, inciso XIX da CF, combinado com o art. 10, § 1º dos Atos das Disposições Constitucionais Transitórias – ADCT -, concede ao empregado o direito de ausentar-se do serviço por cinco dias quando do nascimento de filho. De acordo com o IBGE, nascem filhos de 1,5% dos trabalhadores no período de um ano.
As empresas que declaram impostos sobre o lucro real podem participar do Programa Empresa Cidadã  (PEC) e disponibilizar o benefício de 20 dias de licença-paternidade. Cerca de 18% das empresas brasileiras estão inscritas no PEC.</t>
  </si>
  <si>
    <t>Ausência por Acidente de Trabalho</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</si>
  <si>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</si>
  <si>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Subtotal</t>
  </si>
  <si>
    <t>Total do SUBMÓDULO 5:</t>
  </si>
  <si>
    <t xml:space="preserve">RESUMO DO MÓDULO - ENCARGOS SOCIAIS E TRABALHISTAS </t>
  </si>
  <si>
    <t>1. Encargos Previdenciários e FGTS</t>
  </si>
  <si>
    <t>2. 13º Salário e Adicional de Férias</t>
  </si>
  <si>
    <t>3. Provisão para Rescisão</t>
  </si>
  <si>
    <t>4. Custo de Reposição do Profissional Ausente</t>
  </si>
  <si>
    <t>Total dos Encargos Sociais e Trabalhistas</t>
  </si>
  <si>
    <t>CITL - CUSTOS INDIRETOS, TRIBUTOS E LUCRO</t>
  </si>
  <si>
    <t>Item</t>
  </si>
  <si>
    <t xml:space="preserve">Percentual </t>
  </si>
  <si>
    <t>Custo Indireto (CI) - Taxa de administração</t>
  </si>
  <si>
    <t>Memória de cálculo:</t>
  </si>
  <si>
    <t>VALE TRANSPORTE</t>
  </si>
  <si>
    <t>Fórum Eleitoral
(postos 20h/semanais)</t>
  </si>
  <si>
    <t xml:space="preserve">Valor Unitário </t>
  </si>
  <si>
    <t>Quant. Diária Estimada</t>
  </si>
  <si>
    <t>Valor Mensal Estimado</t>
  </si>
  <si>
    <t>Desconto 6%</t>
  </si>
  <si>
    <t>Valor do Benefício</t>
  </si>
  <si>
    <t>Alto Paraná (87ª ZE)</t>
  </si>
  <si>
    <t>Astorga (67ª ZE)**</t>
  </si>
  <si>
    <t>Barbosa Ferraz (133ª ZE)</t>
  </si>
  <si>
    <t>Campo Mourão (031ª e 183ª ZE's)</t>
  </si>
  <si>
    <t>Centenário do Sul (159ª ZE)</t>
  </si>
  <si>
    <t>Cianorte (088ª e 149ª ZE's)</t>
  </si>
  <si>
    <t>Cidade Gaúcha (127ª ZE)</t>
  </si>
  <si>
    <t>Colorado (095ª ZE)</t>
  </si>
  <si>
    <t>Cruzeiro do Oeste (86ª)</t>
  </si>
  <si>
    <t>Engenheiro Beltrão (116ª ZE)</t>
  </si>
  <si>
    <t>Grandes Rios (136ª ZE)</t>
  </si>
  <si>
    <t>Icaraíma (172ª ZE)</t>
  </si>
  <si>
    <t>Iretama (141ª ZE)</t>
  </si>
  <si>
    <t>Ivaiporã (93ª ZE)</t>
  </si>
  <si>
    <t>Jandaia do Sul (70ª ZE)</t>
  </si>
  <si>
    <t>Loanda (085ª ZE)</t>
  </si>
  <si>
    <t>Mamborê (170ª ZE)</t>
  </si>
  <si>
    <t>Mandaguaçu (102ª ZE)</t>
  </si>
  <si>
    <t>Mandaguari (060ª ZE)</t>
  </si>
  <si>
    <t>Marialva (081ª ZE)</t>
  </si>
  <si>
    <t>Nova Esperança (071ª ZE)</t>
  </si>
  <si>
    <t>Nova Londrina (96ª ZE)</t>
  </si>
  <si>
    <t>Paraíso do Norte (100ª ZE)</t>
  </si>
  <si>
    <t>Paranacity (91ª ZE)</t>
  </si>
  <si>
    <t>Peabiru (74ª)</t>
  </si>
  <si>
    <t>Santa Fé (150ª ZE)</t>
  </si>
  <si>
    <t>Santa Izabel do Ivaí (94ª)</t>
  </si>
  <si>
    <t>São João do Ivaí (132ª ZE)</t>
  </si>
  <si>
    <t>Sarandi (206ª)</t>
  </si>
  <si>
    <t>Terra Boa (173ª ZE)</t>
  </si>
  <si>
    <t>Terra Rica (105ª)</t>
  </si>
  <si>
    <t>Umuarama (089ª e 142ª ZE's)</t>
  </si>
  <si>
    <t>Valor Unitário Rateado</t>
  </si>
  <si>
    <t>Valor Mensal Rateado</t>
  </si>
  <si>
    <t>Valor Mensal do Benefício</t>
  </si>
  <si>
    <t>Média do valor do VT</t>
  </si>
  <si>
    <t>Posto 35h/semanais</t>
  </si>
  <si>
    <t>Paranavaí (72ª ZE)</t>
  </si>
  <si>
    <t>Observação: considerando que o profissional do posto de Paranavaí irá atender também a Usina, estima-se a quantidade mínima de 12 passagens na semana.</t>
  </si>
  <si>
    <t>Postos 44h/semanais</t>
  </si>
  <si>
    <t xml:space="preserve">Maringá 
(66ª, 137ª, 154ª e 192ª ZE) </t>
  </si>
  <si>
    <t xml:space="preserve">Observação </t>
  </si>
  <si>
    <t>A licitante poderá propor valor superior ao estimado.</t>
  </si>
  <si>
    <t>PAD</t>
  </si>
  <si>
    <t>CÉLULAS A PREENCHER</t>
  </si>
  <si>
    <t>Licitação nº:</t>
  </si>
  <si>
    <t>Data da Proposta:</t>
  </si>
  <si>
    <t>SERVIÇOS SOB DEMANDA (Limpeza em altura e Manutenção de áreas verdes)</t>
  </si>
  <si>
    <t>Observação:</t>
  </si>
  <si>
    <t>Descrição do Serviço</t>
  </si>
  <si>
    <t>Quantidade Máxima Estimada</t>
  </si>
  <si>
    <t>Unidade de Medida</t>
  </si>
  <si>
    <t>Soma</t>
  </si>
  <si>
    <t>Serviço de limpeza em altura acima de 2 metros (fachadas, depósito de urnas, luminárias, toldos, etc.)</t>
  </si>
  <si>
    <t>m²</t>
  </si>
  <si>
    <t xml:space="preserve">Valor Total Estimado para Serviço de Limpeza em Altura: </t>
  </si>
  <si>
    <t>Corte de grama com retirada de ervas daninhas e poda até 2m de altura.</t>
  </si>
  <si>
    <t>Aplicação de HERBICIDA seletivo e outros tratamentos fitossanitários (inseticida, fungicida, formicida, etc.)</t>
  </si>
  <si>
    <t>Adubação.</t>
  </si>
  <si>
    <t>Fornecimento e plantio de grama para recomposição de áreas gramadas danificadas, incluindo transporte, preparação do solo, todos os insumos e mão de obra.
Para a estimativa, foi considerado o máximo 50% da área total de jardim de substituição.
*Execução mediante prévia aprovação do gestor</t>
  </si>
  <si>
    <t>unidade</t>
  </si>
  <si>
    <t xml:space="preserve">Valor Total Estimado para Manutenção de Áreas Verdes - Solo: </t>
  </si>
  <si>
    <t>Poda de cerca viva
Estimadas 4 execuções de 250m²</t>
  </si>
  <si>
    <t>Poda de árvore em altura e remoção e destinação de galhos.</t>
  </si>
  <si>
    <t>6.1</t>
  </si>
  <si>
    <t>Árvore de PEQUENO porte, até 5m de altura e até 20cm de diâmetro.</t>
  </si>
  <si>
    <t>6.2</t>
  </si>
  <si>
    <t>Árvore de MÉDIO porte, entre 5m e 10m de altura e entre 20cm a 50cm de diâmetro.</t>
  </si>
  <si>
    <t>6.3</t>
  </si>
  <si>
    <t>Árvore de GRANDE porte, acima de 10m de altura e acima de 50cm de diâmetro</t>
  </si>
  <si>
    <t>Soma:</t>
  </si>
  <si>
    <t>Remoção de ÁRVORES, PALMEIRAS e ARBUSTOS condenados e destinação adequada.
*Execução mediante prévia aprovação do gestor.</t>
  </si>
  <si>
    <t>7.1</t>
  </si>
  <si>
    <t>ÁRVORES, PALMEIRAS e ARBUSTOS com ATÉ 7,5m de altura e 40 cm de diâmetro.</t>
  </si>
  <si>
    <t>7.2</t>
  </si>
  <si>
    <t>ÁRVORES e PALMEIRAS com MAIS de 7,5m de altura e 40 cm de diâmetro.</t>
  </si>
  <si>
    <t>Serviço de locação de caçamba para remoção de resíduos vegetais, quando necessário.
*Execução mediante prévia aprovação do gestor</t>
  </si>
  <si>
    <t xml:space="preserve">Valor Total Estimado para Manutenção de Áreas Verdes - Árvores: </t>
  </si>
  <si>
    <t>Orientações de Preenchimento:</t>
  </si>
  <si>
    <t xml:space="preserve">MATERIAIS </t>
  </si>
  <si>
    <t>Material de Limpeza - Entrega Mensal</t>
  </si>
  <si>
    <t>Descrição</t>
  </si>
  <si>
    <t>Unidade</t>
  </si>
  <si>
    <t>ÁGUA SANITÁRIA, base hipoclorito de sódio, concentração mínima de 2% de cloro ativo, uso doméstico. Marcas de referência: Qboa, Brilhante ou Ypê</t>
  </si>
  <si>
    <t>Litro</t>
  </si>
  <si>
    <t>ÁLCOOL 70%, gel antisséptico, embalagem de no mínimo 420 gramas. Marcas de referência: Asseptgel e Renko.</t>
  </si>
  <si>
    <t>Frasco</t>
  </si>
  <si>
    <t>ÁLCOOL, 70% líquido, embalagem de 1 litro.</t>
  </si>
  <si>
    <t>DESINFETANTE líquido, a base de pinho, uso geral, ação bactericida e germicida. Marca de referência: Pinho Sol e Urca.</t>
  </si>
  <si>
    <t>DETERGENTE* líquido de cozinha, frasco de 500 ml. Marcas de referência: Veja, Ypê, limpol e Minuano.</t>
  </si>
  <si>
    <t>Esponja lã de aço, pacote com 8 unidades. Marcas de referência: Assolan, Bombril, Lustro ou Brilhus.</t>
  </si>
  <si>
    <t>Pacote</t>
  </si>
  <si>
    <t>ESPONJA sintética, dupla face, um lado para vidro e louça e outro para alumínio, dimensões 110 x 75 x 20 mm. Marcas de referência: Scotch Brite, Ypê, Assolan, Limppano ou Esfrebom.</t>
  </si>
  <si>
    <t>Fibra verde para limpeza pesada. Marca de referência: Tinindo e Scoth Brite.</t>
  </si>
  <si>
    <t>FLANELA 100% algodão, bordas overloqueadas em linhas de algodão, para uso geral, dimensões mínimas de 30 x 50 cm.</t>
  </si>
  <si>
    <t>LIMPADOR LIMPEZA PESADA. Marca de Referência: Veja Limpeza Pesada e Mr. Músculo Limpeza Pesada</t>
  </si>
  <si>
    <t>LIMPADOR MULTIUSO, frasco de 500ml. Marcas de referência: Veja, Ypê e Pratice.</t>
  </si>
  <si>
    <t>LIMPADOR SAPONÁCEO cremoso, embalagem de 250 ml.</t>
  </si>
  <si>
    <t>LUSTRA MÓVEIS a base de óleo de peroba, embalagem de 200 ml.</t>
  </si>
  <si>
    <t>LUVA limpeza pesada,borracha, forrada internamente, flexíveis, resistentes: Marca/modelo de referência: Schoth Brite Limpeza Pesada, Limpano Tarefas Pesada.</t>
  </si>
  <si>
    <t>Par</t>
  </si>
  <si>
    <t>LUVA de limpeza multiuso maior tato, forrada internamente, flexível, resistente. Marca/modelo de referência: Scoth Brite para Cozinha e Limpanno Velouté</t>
  </si>
  <si>
    <t>ODORIZADOR de ambientes aerosol, frasco com no mínimo 350ml/170g. Marcas de referência: Bom Ar e Glade.</t>
  </si>
  <si>
    <t>PANO DE CHÃO em algodão lavado, tipo saco, medidas aproximadas de 65 x 40 cm.</t>
  </si>
  <si>
    <t>PANO DE PRATO, composição 100% algodão, com bainha, medidas aproximadas de 50 X 70 cm.</t>
  </si>
  <si>
    <t>PAPEL HIGIÊNICO - rolo de 300 metros, branco macio, de primeira linha, gramatura mínima de 19g/m2, gofrado ou texturizado, com tecnologia corta-fácil. Marca de referência: Scott. Também serão aceitos rolos de 250 metros, se estes forem folha dupla.</t>
  </si>
  <si>
    <t>Rolo</t>
  </si>
  <si>
    <t>PAPEL TOALHA - interfolhado, folha dupla, 100% celulose, caixa com 2.400 folhas, medidas aproximadas 22 x 22 cm. 
Observação: também serão aceitas caixas com 1.000 ou 2.000 folhas, desde que acrescida de 2 pacotes de no mínimo 200 folhas cada, totalizando 2.400 folhas. 
Marcas de referência: Santher-Inovatta, Mili e Indaial-Ipel.</t>
  </si>
  <si>
    <t>Caixa</t>
  </si>
  <si>
    <t>REMOVEDOR (solvente) de uso doméstico, tipo Varsol, frasco de no mínimo 450ml. Marcas de referência: Zulu ou Faísca. Atenção! TÓXICO e INFLAMÁVEL! Uso com EPIs. Promover ventilação mecânica e exaustão direta para o meio exterior.</t>
  </si>
  <si>
    <t>SABÃO em Barra Glicerinado pacote com 5 unidades de no mínimo 180 g cada pedra; Marca de referência: Ypê e Girando Sol</t>
  </si>
  <si>
    <t>SABÃO EM PÓ biodegradável, pacote de 800 Kg. Marcas de referência: Omo, Tixan, Brilhante</t>
  </si>
  <si>
    <t>SABONETE Líquido, bactericida/antisséptico, fragrância agradável, para saboneteiras de banheiros. Marcas de referência: Nobrehand, Spartan.</t>
  </si>
  <si>
    <t>SACO PLÁSTICO para lixo de 40 litros, pacote com 100 unidades, classe I, em resina termoplástica preferencialmente reciclada, 45 x 55 x 03, reforçado.</t>
  </si>
  <si>
    <t>SACO PLÁSTICO para lixo de 60 litros, pacote com 100 unidades, classe I, em resina termoplástica preferencialmente reciclada, 50 x 60 x 03, reforçado.</t>
  </si>
  <si>
    <t xml:space="preserve">SACO PLÁSTICO para lixo de 100 litros, pacote com 100 unidades, classe I, em resina termoplástica preferencialmente reciclada, 75 x 85 x 05, reforçado. </t>
  </si>
  <si>
    <t>Soma Mensal:</t>
  </si>
  <si>
    <t>Cera acrílica para piso cerâmico de alta resistência, galão de 5 litros. Marca de referência: Spartan, Becker e Start.</t>
  </si>
  <si>
    <t>Galão (5l)</t>
  </si>
  <si>
    <t>Removedor de cera, galão de 5 litros. Marca de referência: Spartan, Becker e Start.</t>
  </si>
  <si>
    <t>Disco verde limpador, 350 mm. Marca de referência: 3m e Romher.</t>
  </si>
  <si>
    <t>Disco preto removedor, 350mm. Marca de referência: 3m e Romher.</t>
  </si>
  <si>
    <t>Posto 20H</t>
  </si>
  <si>
    <t>Posto 35H</t>
  </si>
  <si>
    <t>Posto 44H</t>
  </si>
  <si>
    <t>Material de Copa e Cozinha - Entrega Mensal</t>
  </si>
  <si>
    <t>AÇÚCAR branco, refinado, pacote de 5 kg, com no mínimo 10 meses de prazo para expirar o prazo de validade no momento da entrega. Marcas de referência: União, Duçula e Alto Alegre.</t>
  </si>
  <si>
    <t>CAFÉ TORRADO E MOÍDO EMBALAGEM ALTO VÁCUO - embalado à puro vácuo em embalagens de 500 gramas. Marcas de referência: Melitta, Damasco ou 3 Corações</t>
  </si>
  <si>
    <t>CHÁ MATE NATURAL, embalado em caixinhas com peso líquido de aproximadamente 40g, distribuído em 20 ou 25 saches. Marcas de referência: Real ou Leão.</t>
  </si>
  <si>
    <t>FILTRO DE PAPEL para café, número 103, caixa com 30 unidades. Marcas de referência: Melitta, 3 Corações ou Itamaraty.</t>
  </si>
  <si>
    <t>GÁS de cozinha (GLP), carga para botijão de 13 kg (P 13). Rateio mensal da estimativa.</t>
  </si>
  <si>
    <t>Botijão</t>
  </si>
  <si>
    <t>GÁS de cozinha (GLP), botijão de 45 kg (P 45). Rateio mensal da estimativa.</t>
  </si>
  <si>
    <t>Quant.
por Posto</t>
  </si>
  <si>
    <t>Periodicidade de entrega</t>
  </si>
  <si>
    <t>Custo Mensal por Posto</t>
  </si>
  <si>
    <t>Rodo de limpeza, com lâmina dupla de 60cm, com cabo de madeira.</t>
  </si>
  <si>
    <t>Vassoura de Palha</t>
  </si>
  <si>
    <t>Vassoura em nylon, cerdas resistentes, com cabo de madeira.</t>
  </si>
  <si>
    <t>Balde plástico, de 15 litros, com alça reforçada.</t>
  </si>
  <si>
    <t>Desentupidor para pia; confeccionado em borracha natural; com cabo de madeira curto.</t>
  </si>
  <si>
    <t>Desentupidor para vaso sanitário; confeccionado em borracha natural; com cabo de madeira longo.</t>
  </si>
  <si>
    <t>Escova sanitária em plástico, com suporte.</t>
  </si>
  <si>
    <t>Espátula de aço inox, com cabo de madeira.</t>
  </si>
  <si>
    <t>Pá para lixo, plástica, com cabo longo de madeira.</t>
  </si>
  <si>
    <t>Suporte para fibra abrasiva, para limpeza geral, com cabo de alumínio.</t>
  </si>
  <si>
    <t>Vassoura rastelo metálica, com cabo de madeira, para folhas de jardim.</t>
  </si>
  <si>
    <t>Utensílios - Entrega Única</t>
  </si>
  <si>
    <t>Mangueira de jardim, plástica, flexível, com bico e conexão, com 100 metros de comprimento.</t>
  </si>
  <si>
    <t>Placa sinalizadora de piso molhado, em plástico reforçado, medidas aproximadas de 30 X 60 cm.</t>
  </si>
  <si>
    <t>Varal de chão, de metal e plástico, capacidade aproximada de 15kg, medidas aproximadas de 85 cm de altura X 125 cm de comprimento X 50cm de largura.</t>
  </si>
  <si>
    <t>Total Mensal por Posto - UTENSÍLIOS:</t>
  </si>
  <si>
    <t>ENCERADEIRA INDUSTRIAL, 350 mm, bivolt, 0,75 HP,com acessórios. Marca de Referência: Cleaner.</t>
  </si>
  <si>
    <t>KIT/COMBO PARA LIMPEZA DE VIDROS E FORROS - Comprimento mínimo de 3 metros. Kit/combo completo com rodo para limpeza de vidro, cabo de extensão telescópica, espanador eletrostático, adaptador angular 90º, lavador, limpador, luvas de acrílico, guias removíveis e raspadores. Marcas de referência: Unger e Bralímpia.</t>
  </si>
  <si>
    <t>LAVADORA DE ALTA PRESSÃO, 1900 libras, 2.200 W, bivolt - bico regulável com acessórios, ergonômica, Mara de referência: Lavor</t>
  </si>
  <si>
    <t>Uniformes - Postos de Maringá - Entrega Quadrimestral</t>
  </si>
  <si>
    <t>Par de meias com cano longo, tecido 100% algodão, cor preta.</t>
  </si>
  <si>
    <t>Bata de limpeza avental duplo, com bolso frontal, em tecido oxford, cor PRETA, com identificação da contratada</t>
  </si>
  <si>
    <t>Blusa de moleton, 100% poliéster, na cor PRETA, tecido flanelado, sem abertura na parte frontal, com bolsos nas laterais, sem capuz, com ribana na gola, manga e barra.</t>
  </si>
  <si>
    <t>Calça de malha escolar, 100% poliéster, cor PRETA, com bolso nas laterais</t>
  </si>
  <si>
    <t>Camiseta com mangas curtas, tecido poliviscose (67% poliéster e 33% viscose), anti pilling, gola com ribana, cor BRANCA, com identificação da contratada.</t>
  </si>
  <si>
    <t>Camiseta com mangas longas, tecido poliviscose (67% poliéster e 33% viscose), antipilling, com ribana na gola e punho, cor BRANCA, com identificação da contratada.</t>
  </si>
  <si>
    <t>Jaqueta de nylon; com forração; impermeável; fechamento por zíper e botões de pressão; punhos e barra com ribana, cor PRETA</t>
  </si>
  <si>
    <t>Sapato de segurança profissional, antiderrapante, de EVA, na cor preta, confortável. Marca de referência: Soft Works e Marluvas (Flex Clean).</t>
  </si>
  <si>
    <t>Uniformes - Entrega Única</t>
  </si>
  <si>
    <t>Botas de borracha/ PVC, cano médio, com solado antiderrapante</t>
  </si>
  <si>
    <t>Crachá de plástico resistente, com foto, nome e identificação da empresa.</t>
  </si>
  <si>
    <t>Total UNIFORMES - Maringá:</t>
  </si>
  <si>
    <t>Total UNIFORMES - Exceto Maringá:</t>
  </si>
  <si>
    <t>1.</t>
  </si>
  <si>
    <t>2.</t>
  </si>
  <si>
    <t>A CONTRATADA deverá realizar uma vistoria períodica dos EQUIPAMENTOS, para substituição, se necessário.</t>
  </si>
  <si>
    <t>3.</t>
  </si>
  <si>
    <t>A CONTRATADA deverá substituir, de imediato, qualquer peça do UNIFORME danificada ou manchada, sem ônus para o funcionário.</t>
  </si>
  <si>
    <t>4.</t>
  </si>
  <si>
    <t>Os insumos poderão ser reajustados anualmente, observada a data-base da repactuação da categoria, tendo por critério o índice contratual.</t>
  </si>
  <si>
    <t>PEDRA sanitária, mínimo 25 g, Marca de Referência: Sany, Limppano, Harpic, Jhonsons</t>
  </si>
  <si>
    <t>ASPIRADOR DE PÓ PARA LÍQUIDOS E SÓLIDOS, profissional, 1300 watts, bivolt, reservatório 20 litros, incluindo a substituição de sacos sempre que necessário.</t>
  </si>
  <si>
    <t>Solicita-se atenção às marcas e/ou modelos referenciados, cujos aspectos de qualidade e produtividade foram aprovados pelo setor demandante e técnico (SAPRE), a partir de avaliação pretérita durante a fiscalização de serviços similares.</t>
  </si>
  <si>
    <t>INSUMOS - PACOTE ADICIONAL</t>
  </si>
  <si>
    <t>Atenção!</t>
  </si>
  <si>
    <t>1. Esta guia apresenta os quantitativos máximos estimados de insumos para o 1 (um) PACOTE ADICIONAL, que poderá ser demandado pelo Fórum/Cartório Eleitoral para atender a períodos com aumento extraordinário de consumo (Final de Prazo para Cadastramento e Período Eleitoral - ABRIL e MAIO e de AGO a NOV de anos pares - e para ações extraordinárias, como eleições suplementares, revisão eleitoral e outros eventos).</t>
  </si>
  <si>
    <t>2. Não é necessário preencher esta guia, que apresenta automaticamente o valor unitário preenchido INSUMOS ANALÍTICA.</t>
  </si>
  <si>
    <t>3. Os quantitativos estimados se referem a demanda MÁXIMA prevista para 1 (um) pacote adicional. Todavia, SERÃO PAGOS SOMENTE OS ITENS QUE FOREM EFETIVAMENTE DEMANDADOS pelo Fórum Eleitoral.</t>
  </si>
  <si>
    <t>Material de Limpeza</t>
  </si>
  <si>
    <t>Material de Copa e Cozinha</t>
  </si>
  <si>
    <t>Unidades máximas estimadas:</t>
  </si>
  <si>
    <t>INSUMOS - PERÍODO ELEITORAL</t>
  </si>
  <si>
    <t>MATERIAIS - POSTO DO PERÍODO ELEITORAL</t>
  </si>
  <si>
    <t>FERRAMENTAS E UTENSÍLIOS - POSTO DO PERÍODO ELEITORAL</t>
  </si>
  <si>
    <t>Ferramentas e Utensílios - Entrega única</t>
  </si>
  <si>
    <t>Periodicidade da entrega</t>
  </si>
  <si>
    <t>Custo rateado mensalmente</t>
  </si>
  <si>
    <t>Total Mensal para o Posto do Período Eleitoral - UTENSÍLIOS:</t>
  </si>
  <si>
    <t>UNIFORMES - POSTO DO PERÍODO ELEITORAL</t>
  </si>
  <si>
    <t>Uniformes - Posto do Período Eleitoral - Entrega Única</t>
  </si>
  <si>
    <t>Total Mensal para o Posto do Período Eleitoral - UNIFORMES:</t>
  </si>
  <si>
    <t>POSTO DE TRABALHO</t>
  </si>
  <si>
    <t>HORA SUPLEMENTAR 50%</t>
  </si>
  <si>
    <t>HORA SALARIO COM 50% DE ACRÉSCIMO</t>
  </si>
  <si>
    <t>DESCANSO SEMANAL REMUNERADO</t>
  </si>
  <si>
    <t>ENCARGOS SOCIAIS</t>
  </si>
  <si>
    <t>VALOR  DA HORA SUPLEMENTAR  50%</t>
  </si>
  <si>
    <t>HORA SUPLEMENTAR 100%</t>
  </si>
  <si>
    <t>HORA SALARIO COM 100% DE ACRÉSCIMO</t>
  </si>
  <si>
    <t>VALOR  DA HORA SUPLEMENTAR 100%</t>
  </si>
  <si>
    <t>HORA SUPLEMENTAR NOTURNA 50%</t>
  </si>
  <si>
    <t>HORA SALÁRIO NOTURNA COM 50% DE ACRÉSCIMO</t>
  </si>
  <si>
    <t>VALOR  DA HORA SUPLEMENTAR NOTURNA 50%</t>
  </si>
  <si>
    <t>HORA SUPLEMENTAR NOTURNA 100%</t>
  </si>
  <si>
    <t>HORA SALÁRIO NOTURNA COM 100% DE ACRÉSCIMO</t>
  </si>
  <si>
    <t>VALOR  DA HORA SUPLEMENTAR NOTURNA 100%</t>
  </si>
  <si>
    <t>AUXÍLIOS DECORRENTES DE JORNADA SUPLEMENTAR</t>
  </si>
  <si>
    <t>BENEFÍCIO EXCLUSIVO - CCT SIEMACO (Vale Alimentação por Assiduidade)</t>
  </si>
  <si>
    <t>SITUAÇÃO</t>
  </si>
  <si>
    <t>VALOR DO VALE-ALIMENTAÇÃO</t>
  </si>
  <si>
    <t>DESCONTO DO PAT</t>
  </si>
  <si>
    <t>VALOR DEVIDO</t>
  </si>
  <si>
    <t>Nenhuma falta.</t>
  </si>
  <si>
    <t>De 01 a 03 faltas.</t>
  </si>
  <si>
    <t>De 04 a 05 faltas.</t>
  </si>
  <si>
    <t>06 ou mais faltas.</t>
  </si>
  <si>
    <t>*Pago no gozo das férias, de acordo com a ocorrência de faltas, justificadas ou não;</t>
  </si>
  <si>
    <t>**O respectivo pagamento à contratada ocorrerá por Fato Gerador, através de Nota Fiscal COMPLEMENTAR, após comprovada a despesa efetiva com o benefício VA Férias dos empregados vinculados ao contrato.</t>
  </si>
  <si>
    <t>Limite de H.E.: 6 horas semanais para contratos de 20 h, conf. Parágrafo 4º do art. 58-A da CLT (Alterado pela Lei 13.467/17).</t>
  </si>
  <si>
    <t>* Devido por dia e somente nos casos de H.E. de sábado, domingo ou feriado.</t>
  </si>
  <si>
    <t>Observações:</t>
  </si>
  <si>
    <t>CCT SIEMACO 2023/2025 - PR 000092/2023</t>
  </si>
  <si>
    <t>01/02/2023 a 31/01/2025 - data base em 1º/fevereiro</t>
  </si>
  <si>
    <t>X</t>
  </si>
  <si>
    <t>Passe Livre</t>
  </si>
  <si>
    <r>
      <t xml:space="preserve">Para o cálculo da estimativa, foi considerada a quantidade diária de 2 (duas) passagens para os Fóruns Eleitorais cujo município sede possui Transporte Coletivo Municipal e, </t>
    </r>
    <r>
      <rPr>
        <sz val="10"/>
        <color indexed="60"/>
        <rFont val="Calibri"/>
        <family val="2"/>
        <scheme val="minor"/>
      </rPr>
      <t>**</t>
    </r>
    <r>
      <rPr>
        <b/>
        <sz val="10"/>
        <color indexed="60"/>
        <rFont val="Calibri"/>
        <family val="2"/>
        <scheme val="minor"/>
      </rPr>
      <t>excpecionalmente, 2 (duas) passagens intermunicipais para Fórum Eleitoral sediado no município de Astorga, que não possui transporte coletivo municipal.</t>
    </r>
  </si>
  <si>
    <r>
      <t xml:space="preserve">A estimativa se baseou no percentual máximo de alíquota RAT e no valor máximo de FAP passíveis de serem utilizados nas propostas .
</t>
    </r>
    <r>
      <rPr>
        <b/>
        <sz val="8"/>
        <color indexed="8"/>
        <rFont val="Calibri"/>
        <family val="2"/>
        <scheme val="minor"/>
      </rPr>
      <t>A licitante deverá informar a sua alíquota e o seu FAP vigente.</t>
    </r>
  </si>
  <si>
    <r>
      <rPr>
        <b/>
        <sz val="8"/>
        <color indexed="8"/>
        <rFont val="Calibri"/>
        <family val="2"/>
        <scheme val="minor"/>
      </rPr>
      <t>SUBMÓDULO 1</t>
    </r>
    <r>
      <rPr>
        <sz val="8"/>
        <color indexed="8"/>
        <rFont val="Calibri"/>
        <family val="2"/>
        <scheme val="minor"/>
      </rPr>
      <t xml:space="preserve"> sobre o 13º Salário e Adicional de Férias.</t>
    </r>
  </si>
  <si>
    <r>
      <t xml:space="preserve">Serviços de Limpeza, Copeiragem, Manutenção de Áreas Verdes e Limpeza em Altura - </t>
    </r>
    <r>
      <rPr>
        <b/>
        <sz val="12"/>
        <color indexed="8"/>
        <rFont val="Calibri"/>
        <family val="2"/>
        <scheme val="minor"/>
      </rPr>
      <t>Polo 4 - Maringá e Região</t>
    </r>
  </si>
  <si>
    <r>
      <t xml:space="preserve">Auxiliar de limpeza - Fórum Eleitoral de </t>
    </r>
    <r>
      <rPr>
        <b/>
        <sz val="9"/>
        <color indexed="8"/>
        <rFont val="Calibri"/>
        <family val="2"/>
        <scheme val="minor"/>
      </rPr>
      <t>PARANAVAÍ</t>
    </r>
  </si>
  <si>
    <r>
      <t xml:space="preserve">Auxiliar de limpeza - Fórum Eleitoral de </t>
    </r>
    <r>
      <rPr>
        <b/>
        <sz val="9"/>
        <color indexed="8"/>
        <rFont val="Calibri"/>
        <family val="2"/>
        <scheme val="minor"/>
      </rPr>
      <t>MARINGÁ</t>
    </r>
  </si>
  <si>
    <r>
      <t xml:space="preserve">Auxiliar de limpeza - Fórum Eleitoral de </t>
    </r>
    <r>
      <rPr>
        <b/>
        <sz val="9"/>
        <color indexed="8"/>
        <rFont val="Calibri"/>
        <family val="2"/>
        <scheme val="minor"/>
      </rPr>
      <t>MARINGÁ - Período Eleitoral</t>
    </r>
  </si>
  <si>
    <r>
      <t xml:space="preserve">Total máximo estimado para </t>
    </r>
    <r>
      <rPr>
        <b/>
        <sz val="10"/>
        <color indexed="8"/>
        <rFont val="Calibri"/>
        <family val="2"/>
        <scheme val="minor"/>
      </rPr>
      <t>Serviços com Dedicação Exclusiva e com Fornecimento de Materiais e Equipamentos</t>
    </r>
    <r>
      <rPr>
        <sz val="10"/>
        <color indexed="8"/>
        <rFont val="Calibri"/>
        <family val="2"/>
        <scheme val="minor"/>
      </rPr>
      <t xml:space="preserve">:  </t>
    </r>
  </si>
  <si>
    <r>
      <t xml:space="preserve">Total máximo estimado para </t>
    </r>
    <r>
      <rPr>
        <b/>
        <sz val="10"/>
        <color indexed="8"/>
        <rFont val="Calibri"/>
        <family val="2"/>
        <scheme val="minor"/>
      </rPr>
      <t>Serviços Sob Demanda</t>
    </r>
    <r>
      <rPr>
        <sz val="10"/>
        <color indexed="8"/>
        <rFont val="Calibri"/>
        <family val="2"/>
        <scheme val="minor"/>
      </rPr>
      <t xml:space="preserve">: </t>
    </r>
  </si>
  <si>
    <r>
      <rPr>
        <b/>
        <sz val="10"/>
        <color indexed="8"/>
        <rFont val="Calibri"/>
        <family val="2"/>
        <scheme val="minor"/>
      </rPr>
      <t>Valor total máximo estimado para a contratação</t>
    </r>
    <r>
      <rPr>
        <sz val="10"/>
        <color indexed="8"/>
        <rFont val="Calibri"/>
        <family val="2"/>
        <scheme val="minor"/>
      </rPr>
      <t xml:space="preserve"> (sem HE e sem o Laudo PcD): </t>
    </r>
  </si>
  <si>
    <r>
      <rPr>
        <b/>
        <sz val="10"/>
        <rFont val="Calibri"/>
        <family val="2"/>
        <scheme val="minor"/>
      </rPr>
      <t>Insumos</t>
    </r>
    <r>
      <rPr>
        <sz val="10"/>
        <rFont val="Calibri"/>
        <family val="2"/>
        <scheme val="minor"/>
      </rPr>
      <t>: Vide guias INSUMOS Analítica, INSUMOS Pacotes Adicionais e INSUMOS Período Eleitoral</t>
    </r>
  </si>
  <si>
    <r>
      <t xml:space="preserve">Especificamente para os SERVIÇOS SOB DEMANDA, a proposta deverá conter o PREÇO FINAL, compreendendo </t>
    </r>
    <r>
      <rPr>
        <b/>
        <sz val="12"/>
        <rFont val="Calibri"/>
        <family val="2"/>
        <scheme val="minor"/>
      </rPr>
      <t>todos os custos dos serviços</t>
    </r>
    <r>
      <rPr>
        <sz val="12"/>
        <rFont val="Calibri"/>
        <family val="2"/>
        <scheme val="minor"/>
      </rPr>
      <t>, incluindo os Custos Indiretos, Tributos e Lucro (CITL).</t>
    </r>
  </si>
  <si>
    <t>SALÁRIO + CUMULAÇÃO DE FUNÇÃO</t>
  </si>
  <si>
    <r>
      <rPr>
        <b/>
        <sz val="10"/>
        <rFont val="Calibri"/>
        <family val="2"/>
        <scheme val="minor"/>
      </rPr>
      <t>Vale Alimentação de Férias:</t>
    </r>
    <r>
      <rPr>
        <sz val="10"/>
        <rFont val="Calibri"/>
        <family val="2"/>
        <scheme val="minor"/>
      </rPr>
      <t xml:space="preserve"> CCT 92/2023, 13ª, § 8º.</t>
    </r>
  </si>
  <si>
    <r>
      <rPr>
        <b/>
        <sz val="10"/>
        <rFont val="Calibri"/>
        <family val="2"/>
        <scheme val="minor"/>
      </rPr>
      <t>Horas extra</t>
    </r>
    <r>
      <rPr>
        <sz val="10"/>
        <rFont val="Calibri"/>
        <family val="2"/>
        <scheme val="minor"/>
      </rPr>
      <t>s com caráter eventual, sem habitualidade.</t>
    </r>
  </si>
  <si>
    <r>
      <rPr>
        <b/>
        <sz val="10"/>
        <rFont val="Calibri"/>
        <family val="2"/>
        <scheme val="minor"/>
      </rPr>
      <t>Encargos Sociais</t>
    </r>
    <r>
      <rPr>
        <sz val="10"/>
        <rFont val="Calibri"/>
        <family val="2"/>
        <scheme val="minor"/>
      </rPr>
      <t>: Corresponde ao SUBMÓDULO 1 da guia Encargos Sociais (F23)</t>
    </r>
  </si>
  <si>
    <r>
      <rPr>
        <b/>
        <sz val="10"/>
        <rFont val="Calibri"/>
        <family val="2"/>
        <scheme val="minor"/>
      </rPr>
      <t>Adicional Noturno</t>
    </r>
    <r>
      <rPr>
        <sz val="10"/>
        <rFont val="Calibri"/>
        <family val="2"/>
        <scheme val="minor"/>
      </rPr>
      <t>: 20% sobre a hora reduzida de 52,5 min.</t>
    </r>
    <r>
      <rPr>
        <sz val="10"/>
        <color indexed="16"/>
        <rFont val="Calibri"/>
        <family val="2"/>
        <scheme val="minor"/>
      </rPr>
      <t xml:space="preserve"> </t>
    </r>
    <r>
      <rPr>
        <sz val="10"/>
        <color indexed="23"/>
        <rFont val="Calibri"/>
        <family val="2"/>
        <scheme val="minor"/>
      </rPr>
      <t>(</t>
    </r>
    <r>
      <rPr>
        <sz val="10"/>
        <color indexed="10"/>
        <rFont val="Calibri"/>
        <family val="2"/>
        <scheme val="minor"/>
      </rPr>
      <t>(</t>
    </r>
    <r>
      <rPr>
        <sz val="10"/>
        <color indexed="17"/>
        <rFont val="Calibri"/>
        <family val="2"/>
        <scheme val="minor"/>
      </rPr>
      <t>(</t>
    </r>
    <r>
      <rPr>
        <sz val="10"/>
        <color indexed="16"/>
        <rFont val="Calibri"/>
        <family val="2"/>
        <scheme val="minor"/>
      </rPr>
      <t>Remun. / (Carga Horária Semanal * 5)</t>
    </r>
    <r>
      <rPr>
        <sz val="10"/>
        <color indexed="17"/>
        <rFont val="Calibri"/>
        <family val="2"/>
        <scheme val="minor"/>
      </rPr>
      <t xml:space="preserve">) </t>
    </r>
    <r>
      <rPr>
        <sz val="10"/>
        <color indexed="16"/>
        <rFont val="Calibri"/>
        <family val="2"/>
        <scheme val="minor"/>
      </rPr>
      <t>* Adicional Hora Reduzida - 1,1428571</t>
    </r>
    <r>
      <rPr>
        <sz val="10"/>
        <color indexed="10"/>
        <rFont val="Calibri"/>
        <family val="2"/>
        <scheme val="minor"/>
      </rPr>
      <t xml:space="preserve">) </t>
    </r>
    <r>
      <rPr>
        <sz val="10"/>
        <color indexed="16"/>
        <rFont val="Calibri"/>
        <family val="2"/>
        <scheme val="minor"/>
      </rPr>
      <t>* 20% de AdNt</t>
    </r>
    <r>
      <rPr>
        <sz val="10"/>
        <color indexed="23"/>
        <rFont val="Calibri"/>
        <family val="2"/>
        <scheme val="minor"/>
      </rPr>
      <t xml:space="preserve">) </t>
    </r>
    <r>
      <rPr>
        <sz val="10"/>
        <color indexed="16"/>
        <rFont val="Calibri"/>
        <family val="2"/>
        <scheme val="minor"/>
      </rPr>
      <t>* Acrésc. 50% ou 100%]</t>
    </r>
  </si>
  <si>
    <r>
      <rPr>
        <b/>
        <sz val="10"/>
        <rFont val="Calibri"/>
        <family val="2"/>
        <scheme val="minor"/>
      </rPr>
      <t>Descanso Semanal Remunerado</t>
    </r>
    <r>
      <rPr>
        <sz val="10"/>
        <rFont val="Calibri"/>
        <family val="2"/>
        <scheme val="minor"/>
      </rPr>
      <t xml:space="preserve">: Incluído o DSR de 20%* sobre o valor da hora suplementar. 
</t>
    </r>
    <r>
      <rPr>
        <i/>
        <sz val="10"/>
        <color rgb="FF0070C0"/>
        <rFont val="Calibri"/>
        <family val="2"/>
        <scheme val="minor"/>
      </rPr>
      <t>*Percentual obtido considerando-se a média de 25 dias úteis e 5 domingos/ feriados por mês.</t>
    </r>
  </si>
  <si>
    <r>
      <t>Auxílio Transporte</t>
    </r>
    <r>
      <rPr>
        <sz val="10"/>
        <rFont val="Calibri"/>
        <family val="2"/>
        <scheme val="minor"/>
      </rPr>
      <t>: Valor unitário X 2.</t>
    </r>
  </si>
  <si>
    <r>
      <t>Auxílio Alimentação</t>
    </r>
    <r>
      <rPr>
        <sz val="10"/>
        <rFont val="Calibri"/>
        <family val="2"/>
        <scheme val="minor"/>
      </rPr>
      <t>: Valor diário.</t>
    </r>
  </si>
  <si>
    <r>
      <rPr>
        <b/>
        <sz val="10"/>
        <rFont val="Calibri"/>
        <family val="2"/>
        <scheme val="minor"/>
      </rPr>
      <t>CITL</t>
    </r>
    <r>
      <rPr>
        <sz val="10"/>
        <rFont val="Calibri"/>
        <family val="2"/>
        <scheme val="minor"/>
      </rPr>
      <t>: Conforme cálculo na planilha CITL.</t>
    </r>
  </si>
  <si>
    <r>
      <t xml:space="preserve">Quantidade por Posto </t>
    </r>
    <r>
      <rPr>
        <sz val="9"/>
        <color indexed="8"/>
        <rFont val="Calibri"/>
        <family val="2"/>
        <scheme val="minor"/>
      </rPr>
      <t>(exceto Mgá)</t>
    </r>
  </si>
  <si>
    <t>Células a Preecher</t>
  </si>
  <si>
    <t>Quant. Máxima Mensal por Posto 20h</t>
  </si>
  <si>
    <t>Quant. Máxima Mensal por Posto 35h</t>
  </si>
  <si>
    <t>Quant. Máxima Mensal por Posto 44h</t>
  </si>
  <si>
    <t>Soma Máxima Mensal por Posto 20H</t>
  </si>
  <si>
    <t>Soma Máxima Mensal por Posto 35H</t>
  </si>
  <si>
    <t>Soma Máxima Mensal por Posto 44H</t>
  </si>
  <si>
    <t>Soma Máxima Mensal:</t>
  </si>
  <si>
    <t>Total Máximo Mensal por Posto - MATERIAIS DE LIMPEZA:</t>
  </si>
  <si>
    <t>Quant. Máximo Mensal por Posto 20h</t>
  </si>
  <si>
    <t>Quant. Máximo Mensal por Posto 35h</t>
  </si>
  <si>
    <t>Quant. Máximo Mensal por Posto 44h</t>
  </si>
  <si>
    <t>Total Máximo Mensal por Posto - MATERIAIS DE COPA E COZINHA:</t>
  </si>
  <si>
    <t>Quant. Máxima
por Posto</t>
  </si>
  <si>
    <t>Custo Máximo Mensal por Posto</t>
  </si>
  <si>
    <t>Quantidade Estimada por Pacote</t>
  </si>
  <si>
    <t>Soma Mensal correspondente</t>
  </si>
  <si>
    <t>Valor Unitário Máximo do PACOTE ADICIONAL:</t>
  </si>
  <si>
    <t>Quant. Máxima Mensal por Posto</t>
  </si>
  <si>
    <t>Soma Máxima Mensal por Posto</t>
  </si>
  <si>
    <t>Total Máximo MENSAL para o Posto do Período Eleitoral - MATERIAIS:</t>
  </si>
  <si>
    <t>Materiais de Limpeza - Entrega Anual</t>
  </si>
  <si>
    <t>VALE ALIMENTAÇÃO SUPLEMENTAR - VAS*</t>
  </si>
  <si>
    <r>
      <t xml:space="preserve">POR DIA 
</t>
    </r>
    <r>
      <rPr>
        <sz val="9"/>
        <rFont val="Calibri"/>
        <family val="2"/>
        <scheme val="minor"/>
      </rPr>
      <t>(Valor mensal / 21)</t>
    </r>
  </si>
  <si>
    <t>CITL - Custos Indiretos, Tributos e Lucro</t>
  </si>
  <si>
    <t>VALOR DIÁRIO 
FINAL</t>
  </si>
  <si>
    <t>VALE TRANSPORTE SUPLEMENTAR - VTS*</t>
  </si>
  <si>
    <t>Valor Unitário da passagem</t>
  </si>
  <si>
    <t>Quantidade Diária de passagens</t>
  </si>
  <si>
    <t>Preencha a quant. de dias SDF's laborados em regime de HE no mês:</t>
  </si>
  <si>
    <t>VALOR VTS 
POR DIA</t>
  </si>
  <si>
    <t>VALOR DIÁRIO
FINAL</t>
  </si>
  <si>
    <t>VALOR MENSAL
FINAL</t>
  </si>
  <si>
    <t>Taxa de Lucro  (L)</t>
  </si>
  <si>
    <t>ISS (T)</t>
  </si>
  <si>
    <r>
      <t>INSS (CPRB)</t>
    </r>
    <r>
      <rPr>
        <sz val="10"/>
        <color rgb="FFFF0000"/>
        <rFont val="Calibri"/>
        <family val="2"/>
        <scheme val="minor"/>
      </rPr>
      <t>*</t>
    </r>
    <r>
      <rPr>
        <sz val="10"/>
        <color theme="1"/>
        <rFont val="Calibri"/>
        <family val="2"/>
        <scheme val="minor"/>
      </rPr>
      <t xml:space="preserve"> (T)</t>
    </r>
  </si>
  <si>
    <t>% CITL =  ((1 + CI) * (1 + L) / (1 - TR)) - 1</t>
  </si>
  <si>
    <r>
      <t xml:space="preserve">O modelo de planilha preenchido com a Estimativa do TRE-PR tomou por base, exemplificativamente, uma empresa tributada pelo Lucro Real. </t>
    </r>
    <r>
      <rPr>
        <b/>
        <sz val="10"/>
        <color theme="6" tint="-0.499984740745262"/>
        <rFont val="Calibri"/>
        <family val="2"/>
        <scheme val="minor"/>
      </rPr>
      <t>Os licitantes deverão preencher conforme o regime de tributação a que estão submetidas</t>
    </r>
    <r>
      <rPr>
        <sz val="10"/>
        <color theme="6" tint="-0.499984740745262"/>
        <rFont val="Calibri"/>
        <family val="2"/>
        <scheme val="minor"/>
      </rPr>
      <t>.</t>
    </r>
  </si>
  <si>
    <r>
      <rPr>
        <sz val="10"/>
        <color theme="6" tint="-0.499984740745262"/>
        <rFont val="Calibri"/>
        <family val="2"/>
        <scheme val="minor"/>
      </rPr>
      <t>TAXAS DE ADMINISTRAÇÃO</t>
    </r>
    <r>
      <rPr>
        <b/>
        <sz val="10"/>
        <color theme="6" tint="-0.499984740745262"/>
        <rFont val="Calibri"/>
        <family val="2"/>
        <scheme val="minor"/>
      </rPr>
      <t xml:space="preserve"> (CI) </t>
    </r>
    <r>
      <rPr>
        <sz val="10"/>
        <color theme="6" tint="-0.499984740745262"/>
        <rFont val="Calibri"/>
        <family val="2"/>
        <scheme val="minor"/>
      </rPr>
      <t>e</t>
    </r>
    <r>
      <rPr>
        <b/>
        <sz val="10"/>
        <color theme="6" tint="-0.499984740745262"/>
        <rFont val="Calibri"/>
        <family val="2"/>
        <scheme val="minor"/>
      </rPr>
      <t xml:space="preserve"> </t>
    </r>
    <r>
      <rPr>
        <sz val="10"/>
        <color theme="6" tint="-0.499984740745262"/>
        <rFont val="Calibri"/>
        <family val="2"/>
        <scheme val="minor"/>
      </rPr>
      <t xml:space="preserve">LUCRO </t>
    </r>
    <r>
      <rPr>
        <b/>
        <sz val="10"/>
        <color theme="6" tint="-0.499984740745262"/>
        <rFont val="Calibri"/>
        <family val="2"/>
        <scheme val="minor"/>
      </rPr>
      <t>(L):</t>
    </r>
    <r>
      <rPr>
        <sz val="10"/>
        <color theme="6" tint="-0.499984740745262"/>
        <rFont val="Calibri"/>
        <family val="2"/>
        <scheme val="minor"/>
      </rPr>
      <t xml:space="preserve"> a estimativa do TRE-PR considerou</t>
    </r>
    <r>
      <rPr>
        <b/>
        <sz val="10"/>
        <color theme="6" tint="-0.499984740745262"/>
        <rFont val="Calibri"/>
        <family val="2"/>
        <scheme val="minor"/>
      </rPr>
      <t xml:space="preserve"> </t>
    </r>
    <r>
      <rPr>
        <sz val="10"/>
        <color theme="6" tint="-0.499984740745262"/>
        <rFont val="Calibri"/>
        <family val="2"/>
        <scheme val="minor"/>
      </rPr>
      <t>o histórico de contratações apuradas pelo STJ no Manual de Preenchimento de Planilha de Custos e Formação de Preços do STJ.</t>
    </r>
  </si>
  <si>
    <r>
      <rPr>
        <b/>
        <sz val="10"/>
        <color theme="6" tint="-0.499984740745262"/>
        <rFont val="Calibri"/>
        <family val="2"/>
        <scheme val="minor"/>
      </rPr>
      <t>IRPJ e CSL</t>
    </r>
    <r>
      <rPr>
        <sz val="10"/>
        <color theme="6" tint="-0.499984740745262"/>
        <rFont val="Calibri"/>
        <family val="2"/>
        <scheme val="minor"/>
      </rPr>
      <t xml:space="preserve">L: conforme pontuado pelo Tribunal de Contas da União, </t>
    </r>
    <r>
      <rPr>
        <b/>
        <sz val="10"/>
        <color theme="6" tint="-0.499984740745262"/>
        <rFont val="Calibri"/>
        <family val="2"/>
        <scheme val="minor"/>
      </rPr>
      <t>os licitantes devem prever o custeio não destacado da CSLL e do</t>
    </r>
    <r>
      <rPr>
        <sz val="10"/>
        <color theme="6" tint="-0.499984740745262"/>
        <rFont val="Calibri"/>
        <family val="2"/>
        <scheme val="minor"/>
      </rPr>
      <t xml:space="preserve"> </t>
    </r>
    <r>
      <rPr>
        <b/>
        <sz val="10"/>
        <color theme="6" tint="-0.499984740745262"/>
        <rFont val="Calibri"/>
        <family val="2"/>
        <scheme val="minor"/>
      </rPr>
      <t>IRPJ,</t>
    </r>
    <r>
      <rPr>
        <sz val="10"/>
        <color theme="6" tint="-0.499984740745262"/>
        <rFont val="Calibri"/>
        <family val="2"/>
        <scheme val="minor"/>
      </rPr>
      <t xml:space="preserve"> por se tratarem de tributos que incidem sobre o faturamento e não sobre o valor do serviço, na sua composição do CITL, </t>
    </r>
    <r>
      <rPr>
        <b/>
        <sz val="10"/>
        <color theme="6" tint="-0.499984740745262"/>
        <rFont val="Calibri"/>
        <family val="2"/>
        <scheme val="minor"/>
      </rPr>
      <t>mediante aplicação de TAXAS DE ADMINISTRAÇÃO e LUCRO que sejam suficientes.</t>
    </r>
  </si>
  <si>
    <t>Quant. Diária Ajustada</t>
  </si>
  <si>
    <r>
      <t xml:space="preserve">Total de fornecimentos durante a contratação 
</t>
    </r>
    <r>
      <rPr>
        <sz val="9"/>
        <color indexed="8"/>
        <rFont val="Calibri"/>
        <family val="2"/>
        <scheme val="minor"/>
      </rPr>
      <t>(Periodicidade / 24 meses)</t>
    </r>
  </si>
  <si>
    <t>Utensílios - Entrega a cada 6 meses</t>
  </si>
  <si>
    <t>Utensílios - Entrega Anual</t>
  </si>
  <si>
    <t>Uniformes - Exceto Postos de Maringá - Entrega Anual</t>
  </si>
  <si>
    <r>
      <t xml:space="preserve">Total de fornecimentos
</t>
    </r>
    <r>
      <rPr>
        <sz val="9"/>
        <color indexed="8"/>
        <rFont val="Calibri"/>
        <family val="2"/>
        <scheme val="minor"/>
      </rPr>
      <t>(Periodicidade / 24 meses)</t>
    </r>
  </si>
  <si>
    <t>Uniformes - Entrega Anual</t>
  </si>
  <si>
    <r>
      <t xml:space="preserve">Quant. Total por Posto 
</t>
    </r>
    <r>
      <rPr>
        <sz val="9"/>
        <color indexed="8"/>
        <rFont val="Calibri"/>
        <family val="2"/>
        <scheme val="minor"/>
      </rPr>
      <t>(24 meses)</t>
    </r>
  </si>
  <si>
    <r>
      <t xml:space="preserve">HORA EXTRA SUPLEMENTAR e PRÊMIO ASSIDUIDADE
</t>
    </r>
    <r>
      <rPr>
        <sz val="10"/>
        <color theme="1"/>
        <rFont val="Calibri"/>
        <family val="2"/>
        <scheme val="minor"/>
      </rPr>
      <t>Pagamento por ocorrência (por Fato Gerador)</t>
    </r>
  </si>
  <si>
    <t>VIGÊNCIA CONTRATUAL em meses</t>
  </si>
  <si>
    <t>CITL</t>
  </si>
  <si>
    <t>QUANT. POSTOS</t>
  </si>
  <si>
    <t>Quantidade de Postos</t>
  </si>
  <si>
    <t>Valor Unitário + CITL</t>
  </si>
  <si>
    <t>Depreciação Mensal</t>
  </si>
  <si>
    <t>Soma do Custo Mensal</t>
  </si>
  <si>
    <t>PLANILHA AUXILIAR - EQUIPAMENTOS</t>
  </si>
  <si>
    <t>1. A utilização dos equipamentos disponibilizados será paga pela fração de sua depreciação, uma vez que ao final do contrato eles verterão à contratada (vide campo Observações, no final).</t>
  </si>
  <si>
    <t>2. O custo total estimado (utilização + manutenção) dos equipamentos será rateado mensalmente entre os postos para os quais serão disponibilizados.</t>
  </si>
  <si>
    <t>Valor RESIDUAL %</t>
  </si>
  <si>
    <t>COEFICIENTE K</t>
  </si>
  <si>
    <t>DISPONIBILIZAÇÃO até 10 (dez) dias corridos do início das atividades</t>
  </si>
  <si>
    <t>Quant.</t>
  </si>
  <si>
    <t>Período Depreciação (Meses*)</t>
  </si>
  <si>
    <t>Valor Unitário
(Proposta)</t>
  </si>
  <si>
    <t>Custo Mensal Manutenção/
Substituição</t>
  </si>
  <si>
    <t>CITL Médio</t>
  </si>
  <si>
    <t>Soma do Custo Mensal + CITL</t>
  </si>
  <si>
    <t>Custo Mensal por posto</t>
  </si>
  <si>
    <t>Soma Mensal por posto:</t>
  </si>
  <si>
    <t>Solicita-se atenção às características das marcas e/ou modelos referenciados, cujos aspectos de qualidade e produtividade foram aprovados pelo setor demandante e técnico (SAPRE), a partir de avaliação pretérita durante a fiscalização de serviços similares.</t>
  </si>
  <si>
    <r>
      <t xml:space="preserve">A metodologia do cálculo do CUSTO DE UTILIZAÇÃO dos equipamentos, definida para esta contratação, se baseou na taxa de depreciação anual estabelecida pela Instrução Normativa RFB n. 1.700/2017, a qual define a vida útil das FERRAMENTAS em 5 anos, e das MÁQUINAS em 10 anos:
</t>
    </r>
    <r>
      <rPr>
        <i/>
        <sz val="10"/>
        <rFont val="Calibri"/>
        <family val="2"/>
        <scheme val="minor"/>
      </rPr>
      <t xml:space="preserve">Valor de pagamento mensal = [ </t>
    </r>
    <r>
      <rPr>
        <i/>
        <sz val="10"/>
        <color theme="9" tint="-0.499984740745262"/>
        <rFont val="Calibri"/>
        <family val="2"/>
        <scheme val="minor"/>
      </rPr>
      <t>(</t>
    </r>
    <r>
      <rPr>
        <i/>
        <sz val="10"/>
        <rFont val="Calibri"/>
        <family val="2"/>
        <scheme val="minor"/>
      </rPr>
      <t xml:space="preserve"> </t>
    </r>
    <r>
      <rPr>
        <i/>
        <sz val="10"/>
        <color theme="3" tint="-0.249977111117893"/>
        <rFont val="Calibri"/>
        <family val="2"/>
        <scheme val="minor"/>
      </rPr>
      <t>(valor inicial do insumo - valor residual)</t>
    </r>
    <r>
      <rPr>
        <i/>
        <sz val="10"/>
        <color theme="5" tint="-0.249977111117893"/>
        <rFont val="Calibri"/>
        <family val="2"/>
        <scheme val="minor"/>
      </rPr>
      <t xml:space="preserve"> / vida útil em meses de utilização</t>
    </r>
    <r>
      <rPr>
        <i/>
        <sz val="10"/>
        <rFont val="Calibri"/>
        <family val="2"/>
        <scheme val="minor"/>
      </rPr>
      <t xml:space="preserve"> </t>
    </r>
    <r>
      <rPr>
        <i/>
        <sz val="10"/>
        <color theme="5" tint="-0.249977111117893"/>
        <rFont val="Calibri"/>
        <family val="2"/>
        <scheme val="minor"/>
      </rPr>
      <t>- 60 meses de vida útil para ferramentas e 120 meses de vida útil para máquinas</t>
    </r>
    <r>
      <rPr>
        <i/>
        <sz val="10"/>
        <color theme="9" tint="-0.499984740745262"/>
        <rFont val="Calibri"/>
        <family val="2"/>
        <scheme val="minor"/>
      </rPr>
      <t xml:space="preserve"> )</t>
    </r>
    <r>
      <rPr>
        <i/>
        <sz val="10"/>
        <rFont val="Calibri"/>
        <family val="2"/>
        <scheme val="minor"/>
      </rPr>
      <t xml:space="preserve"> / número de postos ].</t>
    </r>
  </si>
  <si>
    <r>
      <t xml:space="preserve">A estimativa de Coeficiente K para o CUSTO DE MANUTENÇÃO/SUBSTITUIÇÃO dos equipamentos </t>
    </r>
    <r>
      <rPr>
        <i/>
        <sz val="10"/>
        <rFont val="Calibri"/>
        <family val="2"/>
        <scheme val="minor"/>
      </rPr>
      <t>(</t>
    </r>
    <r>
      <rPr>
        <b/>
        <i/>
        <sz val="10"/>
        <rFont val="Calibri"/>
        <family val="2"/>
        <scheme val="minor"/>
      </rPr>
      <t>percentual máximo</t>
    </r>
    <r>
      <rPr>
        <i/>
        <sz val="10"/>
        <rFont val="Calibri"/>
        <family val="2"/>
        <scheme val="minor"/>
      </rPr>
      <t xml:space="preserve"> de 0,5%, que corresponde ao fator 0,05)</t>
    </r>
    <r>
      <rPr>
        <sz val="10"/>
        <rFont val="Calibri"/>
        <family val="2"/>
        <scheme val="minor"/>
      </rPr>
      <t xml:space="preserve"> baseou-se no coeficiente de 6x10</t>
    </r>
    <r>
      <rPr>
        <vertAlign val="superscript"/>
        <sz val="10"/>
        <rFont val="Calibri"/>
        <family val="2"/>
        <scheme val="minor"/>
      </rPr>
      <t>-5</t>
    </r>
    <r>
      <rPr>
        <sz val="10"/>
        <rFont val="Calibri"/>
        <family val="2"/>
        <scheme val="minor"/>
      </rPr>
      <t xml:space="preserve">, com base no TCPO (Ed. Pini) para equipamentos de pequeno porte.
</t>
    </r>
  </si>
  <si>
    <t xml:space="preserve">3.1 </t>
  </si>
  <si>
    <r>
      <t xml:space="preserve">O percentual de VALOR RESIDUAL utilizado na Estimativa TRE-PR (10%) se baseou nas normas de contabilidade atualmente vigentes e aplicáveis para os equipamentos do TRE-PR. </t>
    </r>
    <r>
      <rPr>
        <b/>
        <sz val="10"/>
        <rFont val="Calibri"/>
        <family val="2"/>
        <scheme val="minor"/>
      </rPr>
      <t>A licitante poderá utilizar o percentual que melhor atende à sua realidade, inclusive 0%</t>
    </r>
    <r>
      <rPr>
        <sz val="10"/>
        <rFont val="Calibri"/>
        <family val="2"/>
        <scheme val="minor"/>
      </rPr>
      <t>.</t>
    </r>
  </si>
  <si>
    <t>5.</t>
  </si>
  <si>
    <t>EQUIPAMENTOS</t>
  </si>
  <si>
    <t>1. Os quantitativos estimados se referem a demanda MENSAL MÁXIMA prevista para 1 (um) posto de trabalho desta contratação, para fins de composição do custo mensal de insumos por posto. Todavia, SERÃO PAGOS SOMENTE OS ITENS EFETIVAMENTE DEMANDADOS pelo Fórum Eleitoral.</t>
  </si>
  <si>
    <t>2. Esta guia apresenta os preços, as especificações e os quantitativos máximos estimados de insumos para o serviço no período REGULAR. Os preços propostos nessa guia refletirão nas guias de PACOTES ADICIONAIS e POSTO PERÍODO ELEITORAL.</t>
  </si>
  <si>
    <t>Total Máximo Mensal por Posto - MATERIAIS e UTENSÍLIOS:</t>
  </si>
  <si>
    <r>
      <t xml:space="preserve">CITL - Custos Indiretos, Tributos e Lucros
</t>
    </r>
    <r>
      <rPr>
        <sz val="9"/>
        <color indexed="8"/>
        <rFont val="Calibri"/>
        <family val="2"/>
        <scheme val="minor"/>
      </rPr>
      <t>sobre</t>
    </r>
    <r>
      <rPr>
        <b/>
        <sz val="9"/>
        <color indexed="8"/>
        <rFont val="Calibri"/>
        <family val="2"/>
        <scheme val="minor"/>
      </rPr>
      <t xml:space="preserve"> A + B
</t>
    </r>
    <r>
      <rPr>
        <sz val="9"/>
        <color indexed="8"/>
        <rFont val="Calibri"/>
        <family val="2"/>
        <scheme val="minor"/>
      </rPr>
      <t>(Vide guia)</t>
    </r>
  </si>
  <si>
    <t>MONTANTE C.1</t>
  </si>
  <si>
    <t>MONTANTE C.2</t>
  </si>
  <si>
    <t>INSUMOS - 
Valor Variável</t>
  </si>
  <si>
    <t>VALOR UNITÁRIO MENSAL FIXO
( A + B + CITL ) + C.1</t>
  </si>
  <si>
    <t>Jornada Semanal</t>
  </si>
  <si>
    <t>JORNADA SEMANAL</t>
  </si>
  <si>
    <r>
      <t xml:space="preserve">CARGA HORÁRIA MENSAL - DIVISOR
</t>
    </r>
    <r>
      <rPr>
        <sz val="10"/>
        <color theme="1"/>
        <rFont val="Calibri"/>
        <family val="2"/>
        <scheme val="minor"/>
      </rPr>
      <t>(Jornada Mensal x 5)</t>
    </r>
  </si>
  <si>
    <t>Valor Unitário Final</t>
  </si>
  <si>
    <t>INSUMOS - Valor Mensal Máximo</t>
  </si>
  <si>
    <t>Valor Unitário Mensal - Máximo</t>
  </si>
  <si>
    <t>VALOR UNITÁRIO MENSAL MÁXIMO
FIXO + C.2</t>
  </si>
  <si>
    <t>Valor Unitário Mensal - 
Fixo</t>
  </si>
  <si>
    <t>Valor Mensal Fixo</t>
  </si>
  <si>
    <r>
      <t xml:space="preserve">       </t>
    </r>
    <r>
      <rPr>
        <sz val="10"/>
        <color indexed="8"/>
        <rFont val="Calibri"/>
        <family val="2"/>
        <scheme val="minor"/>
      </rPr>
      <t>Equipamentos e ferramentas: pagamento mensal por utilização, considerando a fração de sua depreciação mensal, uma vez que ao final do contrato estes itens verterão à Contratada.</t>
    </r>
  </si>
  <si>
    <t>UNIFORMES
(Guia INSUMOS)</t>
  </si>
  <si>
    <t>Valor Fixo
CITL calculado na guia respectiva</t>
  </si>
  <si>
    <t>Valor Mensal Máximo</t>
  </si>
  <si>
    <r>
      <t xml:space="preserve">Valor dia 
</t>
    </r>
    <r>
      <rPr>
        <sz val="10"/>
        <color rgb="FF4F6128"/>
        <rFont val="Calibri"/>
        <family val="2"/>
        <scheme val="minor"/>
      </rPr>
      <t>(com base no V.U.M. Máximo)</t>
    </r>
  </si>
  <si>
    <t>MEMÓRIA DE CÁLCULO:</t>
  </si>
  <si>
    <t>Alterar a memória de cálculo conforme a proposta</t>
  </si>
  <si>
    <t>Estimativa máxima: 20% sobre a remuneração.</t>
  </si>
  <si>
    <t>Estimativa máxima: 1,5% sobre a remuneração.</t>
  </si>
  <si>
    <t>Estimativa máxima: 0,2% sobre a remuneração.</t>
  </si>
  <si>
    <t>Estimativa máxima: 1% sobre a remuneração</t>
  </si>
  <si>
    <t>Estimativa máxima: 2,5% sobre a remuneração.</t>
  </si>
  <si>
    <t>Estimativa máxima: 0,6% sobre a remuneração.</t>
  </si>
  <si>
    <t>2,78%
ARRED(((1/3)/12)*100;2)</t>
  </si>
  <si>
    <t>8,33%
ARRED((1/12)*100;2)</t>
  </si>
  <si>
    <t>SM1 sobre subtotal 2</t>
  </si>
  <si>
    <t>Subtotal SM2 x Total SM 1</t>
  </si>
  <si>
    <t>Aviso Prévio Indenizado - API</t>
  </si>
  <si>
    <r>
      <t xml:space="preserve">0,21%
ARRED((((1/12*5%)*100)*12)/24;2)
Obs. 1:   12 meses)/24 meses de contratação
</t>
    </r>
    <r>
      <rPr>
        <b/>
        <sz val="8"/>
        <rFont val="Calibri"/>
        <family val="2"/>
        <scheme val="minor"/>
      </rPr>
      <t>Obs. 2: na hipótese de haver prorrogação contratual, o percentual será zerado, uma vez que a provisão já terá sido completamente quitada.</t>
    </r>
  </si>
  <si>
    <t>Incidência do FGTS sobre o API</t>
  </si>
  <si>
    <t>API X 8%</t>
  </si>
  <si>
    <t>Incidência da Multa de 40% sobre o FGTS de 8% que deve incidir sobre o percentual de empregados demitidos com API</t>
  </si>
  <si>
    <t>(5% X F22 X 40%) * 100 = 0,16%</t>
  </si>
  <si>
    <t>Aviso Prévio Trabalhado - APT</t>
  </si>
  <si>
    <r>
      <t xml:space="preserve">1,07%
ARRED((((7/30/12*100)*12)+(0,194*12))/24;2)
Obs. 1: * 12 meses + 0,194 * 12 meses remanescentes ] / 24 meses de contratação. 
</t>
    </r>
    <r>
      <rPr>
        <b/>
        <sz val="8"/>
        <rFont val="Calibri"/>
        <family val="2"/>
        <scheme val="minor"/>
      </rPr>
      <t>Obs.: na hipótese de haver prorrogação contratual, o percentual será reduzido para 0,194, uma vez que a provisão já terá sido amortizada.</t>
    </r>
  </si>
  <si>
    <t>Incidência dos Encargos do SM 1 sobre o APT</t>
  </si>
  <si>
    <r>
      <rPr>
        <b/>
        <sz val="8"/>
        <rFont val="Calibri"/>
        <family val="2"/>
        <scheme val="minor"/>
      </rPr>
      <t>SUBMÓDULO 1</t>
    </r>
    <r>
      <rPr>
        <sz val="8"/>
        <rFont val="Calibri"/>
        <family val="2"/>
        <scheme val="minor"/>
      </rPr>
      <t xml:space="preserve"> sobre o Aviso Prévio Trabalhado. </t>
    </r>
  </si>
  <si>
    <t>(APT x Total SM 1)</t>
  </si>
  <si>
    <t>4%
ARRED((0,08*0,4*(1+(5/56)+(5/56)+((1/3)*(5/56)))*100);0)</t>
  </si>
  <si>
    <t>Subtotal 3</t>
  </si>
  <si>
    <t>Incidência dos Custos Rescisórios sobre SM 2</t>
  </si>
  <si>
    <t>Tendo em vista que o Aviso Prévio Trabalhado e Indenizado integram tempo de serviço, eles incidem sobre férias e 13º salário.</t>
  </si>
  <si>
    <t>Subtotal 4 X Total SM2</t>
  </si>
  <si>
    <t>Reposição por Férias</t>
  </si>
  <si>
    <t xml:space="preserve">Substituição na cobertura das ausências Legais </t>
  </si>
  <si>
    <t>0,03%
ARRED((((15/30)/12)*0,0078)*100;2)</t>
  </si>
  <si>
    <t>Incidência do SM1 sobre o subtotal 4.2</t>
  </si>
  <si>
    <r>
      <t>SUBMÓDULO 1</t>
    </r>
    <r>
      <rPr>
        <sz val="8"/>
        <color theme="1"/>
        <rFont val="Calibri"/>
        <family val="2"/>
        <scheme val="minor"/>
      </rPr>
      <t xml:space="preserve"> sobre o Custo de Repos. do Profiss. Ausente. </t>
    </r>
  </si>
  <si>
    <t/>
  </si>
  <si>
    <t>Incidência dos custos com 1/3 de férias, 13º sal e rescisão sobre a substituição.</t>
  </si>
  <si>
    <t>Tendo em vista a necessidade de custeio integral dos substitutos, deve ser considerado o reflexo do custo do terço constitucional, 13º salário e verbas rescisórias para os substitutos.</t>
  </si>
  <si>
    <t>((Total SM2+ Total SM3)*Subtotal 4)</t>
  </si>
  <si>
    <t>Preencher Benefício</t>
  </si>
  <si>
    <r>
      <rPr>
        <b/>
        <sz val="10"/>
        <rFont val="Calibri"/>
        <family val="2"/>
        <scheme val="minor"/>
      </rPr>
      <t xml:space="preserve">Valor Unitário Mensal </t>
    </r>
    <r>
      <rPr>
        <sz val="10"/>
        <rFont val="Calibri"/>
        <family val="2"/>
        <scheme val="minor"/>
      </rPr>
      <t>= (Montante A + Montante B + CITL) + Montante C</t>
    </r>
  </si>
  <si>
    <r>
      <rPr>
        <b/>
        <sz val="10"/>
        <rFont val="Calibri"/>
        <family val="2"/>
        <scheme val="minor"/>
      </rPr>
      <t>Dias útei</t>
    </r>
    <r>
      <rPr>
        <sz val="10"/>
        <rFont val="Calibri"/>
        <family val="2"/>
        <scheme val="minor"/>
      </rPr>
      <t xml:space="preserve">s: 21 = </t>
    </r>
    <r>
      <rPr>
        <sz val="10"/>
        <color rgb="FF0070C0"/>
        <rFont val="Calibri"/>
        <family val="2"/>
        <scheme val="minor"/>
      </rPr>
      <t xml:space="preserve"> [ ( 365 / 7 ) X 5 - 9 ] / 12 = 20,98</t>
    </r>
    <r>
      <rPr>
        <sz val="10"/>
        <rFont val="Calibri"/>
        <family val="2"/>
        <scheme val="minor"/>
      </rPr>
      <t xml:space="preserve"> (Acórdão TCU nº 1904/07 Plenário).</t>
    </r>
  </si>
  <si>
    <r>
      <rPr>
        <b/>
        <sz val="10"/>
        <rFont val="Calibri"/>
        <family val="2"/>
        <scheme val="minor"/>
      </rPr>
      <t>Salário:</t>
    </r>
    <r>
      <rPr>
        <sz val="10"/>
        <rFont val="Calibri"/>
        <family val="2"/>
        <scheme val="minor"/>
      </rPr>
      <t xml:space="preserve"> Piso salarial fixado com base na CCT Siemaco 2023, para evitar rotatividade de mão de obra experiente.</t>
    </r>
  </si>
  <si>
    <r>
      <rPr>
        <b/>
        <sz val="10"/>
        <rFont val="Calibri"/>
        <family val="2"/>
        <scheme val="minor"/>
      </rPr>
      <t>Encargos Sociais</t>
    </r>
    <r>
      <rPr>
        <sz val="10"/>
        <rFont val="Calibri"/>
        <family val="2"/>
        <scheme val="minor"/>
      </rPr>
      <t>: Vide guia.</t>
    </r>
  </si>
  <si>
    <r>
      <rPr>
        <b/>
        <sz val="10"/>
        <rFont val="Calibri"/>
        <family val="2"/>
        <scheme val="minor"/>
      </rPr>
      <t>CITL - Custos Indiretos, Tributos e Lucro</t>
    </r>
    <r>
      <rPr>
        <sz val="10"/>
        <rFont val="Calibri"/>
        <family val="2"/>
        <scheme val="minor"/>
      </rPr>
      <t>: Vide guia.</t>
    </r>
  </si>
  <si>
    <r>
      <t xml:space="preserve">       </t>
    </r>
    <r>
      <rPr>
        <sz val="10"/>
        <color indexed="8"/>
        <rFont val="Calibri"/>
        <family val="2"/>
        <scheme val="minor"/>
      </rPr>
      <t>Materiais: pagamento mensal por demanda efetiva do(s) posto(s) do Fórum Eleitoral, limitada ao valor mensal estimado na guia própria.</t>
    </r>
  </si>
  <si>
    <t>Quantidade por Posto</t>
  </si>
  <si>
    <t>Endereço Completo (com CEP):</t>
  </si>
  <si>
    <t>ENDEREÇO COMPLETO COM CEP</t>
  </si>
  <si>
    <t>TELEFONE e EMAIL</t>
  </si>
  <si>
    <t>DADOS BANCÁRIOS (Banco, Agência e Conta Corrente)</t>
  </si>
  <si>
    <t>NOME e CPF do REPRESENTANTE LEGAL (que assinará o contrato)</t>
  </si>
  <si>
    <t>Percentual zerado em razão das características do posto do período eleitoral (contrato de trabalho por tempo determinado)</t>
  </si>
  <si>
    <t>Percentual zerado em razão das características do posto do período eleitoral, por período de aproximadamente 4 (quatro) meses.</t>
  </si>
  <si>
    <t>ENCARGOS SOCIAIS E TRABALHISTAS - POSTO PARA O PERÍODO ELEITORAL</t>
  </si>
  <si>
    <t>Postos de Trabalho - Período Eleitoral</t>
  </si>
  <si>
    <t>0,28%
ARRED((1/30)/12*100;2)</t>
  </si>
  <si>
    <t>Esta parcela refere-se as faltas legais previstas no art 473 CLT, em que a  contratada deve providenciar sua substituição. Utilizamos como referência  1 dia, conforme dados estatísticos do IBGE (item 20 do Acórdão 6771/2009 do TCU).</t>
  </si>
  <si>
    <r>
      <t xml:space="preserve">PIS (T) </t>
    </r>
    <r>
      <rPr>
        <sz val="10"/>
        <color rgb="FFFF0000"/>
        <rFont val="Calibri"/>
        <family val="2"/>
        <scheme val="minor"/>
      </rPr>
      <t>**</t>
    </r>
  </si>
  <si>
    <r>
      <t xml:space="preserve">COFINS (T) </t>
    </r>
    <r>
      <rPr>
        <sz val="10"/>
        <color rgb="FFFF0000"/>
        <rFont val="Calibri"/>
        <family val="2"/>
        <scheme val="minor"/>
      </rPr>
      <t>**</t>
    </r>
  </si>
  <si>
    <t>TOTAL:</t>
  </si>
  <si>
    <r>
      <rPr>
        <b/>
        <sz val="10"/>
        <color rgb="FFFF0000"/>
        <rFont val="Calibri"/>
        <family val="2"/>
        <scheme val="minor"/>
      </rPr>
      <t>*</t>
    </r>
    <r>
      <rPr>
        <b/>
        <sz val="10"/>
        <color theme="6" tint="-0.499984740745262"/>
        <rFont val="Calibri"/>
        <family val="2"/>
        <scheme val="minor"/>
      </rPr>
      <t xml:space="preserve">INSS (CPRB): </t>
    </r>
    <r>
      <rPr>
        <sz val="10"/>
        <color theme="6" tint="-0.499984740745262"/>
        <rFont val="Calibri"/>
        <family val="2"/>
        <scheme val="minor"/>
      </rPr>
      <t>preencher somente se a empresa for optante pela desoneração da folha de pagamento (Lei 12546/2011; Item 6.5.1 do Acórdão nº 1212/2014-TCU).</t>
    </r>
  </si>
  <si>
    <r>
      <rPr>
        <b/>
        <sz val="10"/>
        <color rgb="FFFF0000"/>
        <rFont val="Calibri"/>
        <family val="2"/>
        <scheme val="minor"/>
      </rPr>
      <t>**</t>
    </r>
    <r>
      <rPr>
        <b/>
        <sz val="10"/>
        <color theme="9" tint="-0.499984740745262"/>
        <rFont val="Calibri"/>
        <family val="2"/>
        <scheme val="minor"/>
      </rPr>
      <t>Preenchimento apenas para empresas optantes pelos regime de LUCRO REAL:</t>
    </r>
  </si>
  <si>
    <t>ALÍQUOTAS EFETIVAS dos últimos 12 (doze) meses anteriores à apresentação da proposta</t>
  </si>
  <si>
    <t>Competência 
(mês/ano)</t>
  </si>
  <si>
    <t>Faturamento</t>
  </si>
  <si>
    <t>PIS 
(Total)</t>
  </si>
  <si>
    <t>Créditos PIS</t>
  </si>
  <si>
    <t>Alíquota Efetiva 
PIS</t>
  </si>
  <si>
    <t>COFINS 
(Total)</t>
  </si>
  <si>
    <t>Créditos COFINS</t>
  </si>
  <si>
    <t>Alíquota Efetiva
COFINS</t>
  </si>
  <si>
    <t>MÉDIA PIS:</t>
  </si>
  <si>
    <t>MÉDIA COFINS:</t>
  </si>
  <si>
    <r>
      <rPr>
        <sz val="10"/>
        <color theme="6" tint="-0.499984740745262"/>
        <rFont val="Calibri"/>
        <family val="2"/>
        <scheme val="minor"/>
      </rPr>
      <t>Alíquota Tributária</t>
    </r>
    <r>
      <rPr>
        <b/>
        <sz val="10"/>
        <color theme="6" tint="-0.499984740745262"/>
        <rFont val="Calibri"/>
        <family val="2"/>
        <scheme val="minor"/>
      </rPr>
      <t xml:space="preserve"> (TR)</t>
    </r>
    <r>
      <rPr>
        <sz val="10"/>
        <color theme="6" tint="-0.499984740745262"/>
        <rFont val="Calibri"/>
        <family val="2"/>
        <scheme val="minor"/>
      </rPr>
      <t xml:space="preserve">: 
</t>
    </r>
    <r>
      <rPr>
        <b/>
        <sz val="10"/>
        <color theme="6" tint="-0.499984740745262"/>
        <rFont val="Calibri"/>
        <family val="2"/>
        <scheme val="minor"/>
      </rPr>
      <t>ISS</t>
    </r>
    <r>
      <rPr>
        <sz val="10"/>
        <color theme="6" tint="-0.499984740745262"/>
        <rFont val="Calibri"/>
        <family val="2"/>
        <scheme val="minor"/>
      </rPr>
      <t>:  indicar conforme a alíquota do Município para o qual será devido o ISS., ou média entre os postos, quando o ISS for devido a mais de um Município.</t>
    </r>
  </si>
  <si>
    <t>Ausência por Doença</t>
  </si>
  <si>
    <t>Esta parcela refere-se aos dias em que empregado fica doente e a contratada deve providenciar a sua substituição. O IBGE registra a estatística de 5,96 dias por ano. Consideramos a média de 4,96 dias de reposições efetivadas (subtraindo-se 1 dia).</t>
  </si>
  <si>
    <t>1,38%
ARRED((4,96/30)/12*100;2)</t>
  </si>
  <si>
    <t>4,17%
[ (1/12) X 100 = 8,33% ] / 2
Provisão reduzida pela metade, visto que não será necessária reposição durante o período de recesso do judiciário (20/12 a 6/1 = 18 dias).</t>
  </si>
  <si>
    <t>CÉLULAS A PREENCHER (a partir do Submódulo 2)</t>
  </si>
  <si>
    <t>A estimativa se baseou no percentual máximo de alíquota RAT e no valor máximo de FAP passíveis de serem utilizados nas propostas .
A licitante deverá informar a sua alíquota e o seu FAP vigente.</t>
  </si>
  <si>
    <t xml:space="preserve">0,07%
[(0,1111 x 0,02 x 0,333) x 100%] = [0,0007 x 100] = 0,07%
11,11% = 0,1111 (custo sobre os salários das férias integrais da gestante) - [(1+1/3)/12*100%];
0,02 = dado estatístico de que 2% de empregadas se afastam por licença maternidade;
0,3333 = 4 meses ao ano = 4/12 = período em um ano que se referem às férias proporcionais ora calculadas;
100% = Remuneração.
O valor poderá ser alterado pelo licitante, considerando estimativa própria. </t>
  </si>
  <si>
    <t>Art. 7º inc. XVIII, CF, Lei 8.213/91, art. 72 e Lei 11770/2008. Lei n. 13.527/2016. Art. 86 da IN RFB  971/2009</t>
  </si>
  <si>
    <r>
      <rPr>
        <sz val="8"/>
        <rFont val="Calibri"/>
        <family val="2"/>
        <scheme val="minor"/>
      </rPr>
      <t xml:space="preserve">Zerado na estimativa, considerando histórico do órgão.
0,03%
[ ( (20 / 30) / 12 ) X 0,015 X 100 = 0,08% ] * 18  +  </t>
    </r>
    <r>
      <rPr>
        <sz val="8"/>
        <color indexed="8"/>
        <rFont val="Calibri"/>
        <family val="2"/>
        <scheme val="minor"/>
      </rPr>
      <t xml:space="preserve">
[ ( (5 / 30) / 12 ) X 0,015 X 100 = 0,08% ] * 82
O valor poderá ser alterado pelo licitante, considerando estimativa própria.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</si>
</sst>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4" formatCode="_-&quot;R$&quot;\ * #,##0.00_-;\-&quot;R$&quot;\ * #,##0.00_-;_-&quot;R$&quot;\ * &quot;-&quot;??_-;_-@_-"/>
    <numFmt numFmtId="164" formatCode="&quot;R$&quot;\ #,##0.00"/>
    <numFmt numFmtId="165" formatCode="_(&quot;R$&quot;* #,##0.00_);_(&quot;R$&quot;* \(#,##0.00\);_(&quot;R$&quot;* &quot;-&quot;??_);_(@_)"/>
    <numFmt numFmtId="166" formatCode="0.00;[Red]0.00"/>
    <numFmt numFmtId="167" formatCode="0.0000"/>
    <numFmt numFmtId="168" formatCode="0.0"/>
    <numFmt numFmtId="169" formatCode="dd/mm/yy"/>
    <numFmt numFmtId="170" formatCode="_(&quot;R$&quot;* #,##0.00_);_(&quot;R$&quot;* \(#,##0.00\);_(&quot;R$&quot;* \-??_);_(@_)"/>
    <numFmt numFmtId="171" formatCode="_-[$R$-416]\ * #,##0.00_-;\-[$R$-416]\ * #,##0.00_-;_-[$R$-416]\ * &quot;-&quot;??_-;_-@_-"/>
    <numFmt numFmtId="172" formatCode="dd/mm/yy;@"/>
    <numFmt numFmtId="173" formatCode="0.0000%"/>
    <numFmt numFmtId="174" formatCode="0.0000;[Red]0.0000"/>
  </numFmts>
  <fonts count="114" x14ac:knownFonts="1">
    <font>
      <sz val="11"/>
      <color theme="1"/>
      <name val="Calibri"/>
      <family val="2"/>
      <scheme val="minor"/>
    </font>
    <font>
      <sz val="11"/>
      <color theme="1"/>
      <name val="Calibri"/>
      <family val="2"/>
      <scheme val="minor"/>
    </font>
    <font>
      <b/>
      <sz val="11"/>
      <color theme="3"/>
      <name val="Calibri"/>
      <family val="2"/>
      <scheme val="minor"/>
    </font>
    <font>
      <b/>
      <sz val="11"/>
      <color theme="1"/>
      <name val="Calibri"/>
      <family val="2"/>
      <scheme val="minor"/>
    </font>
    <font>
      <b/>
      <sz val="14"/>
      <color rgb="FF000000"/>
      <name val="Calibri"/>
      <family val="2"/>
      <scheme val="minor"/>
    </font>
    <font>
      <sz val="10"/>
      <name val="Arial"/>
      <family val="2"/>
    </font>
    <font>
      <sz val="10"/>
      <color theme="1"/>
      <name val="Arial"/>
      <family val="2"/>
    </font>
    <font>
      <b/>
      <sz val="10"/>
      <color theme="1"/>
      <name val="Arial"/>
      <family val="2"/>
    </font>
    <font>
      <sz val="10"/>
      <color rgb="FF000000"/>
      <name val="Calibri"/>
      <family val="2"/>
      <scheme val="minor"/>
    </font>
    <font>
      <i/>
      <sz val="10"/>
      <color theme="0" tint="-0.499984740745262"/>
      <name val="Calibri"/>
      <family val="2"/>
      <scheme val="minor"/>
    </font>
    <font>
      <b/>
      <sz val="10"/>
      <color rgb="FF000000"/>
      <name val="Calibri"/>
      <family val="2"/>
      <scheme val="minor"/>
    </font>
    <font>
      <b/>
      <sz val="12"/>
      <color theme="6" tint="-0.499984740745262"/>
      <name val="Calibri"/>
      <family val="2"/>
      <scheme val="minor"/>
    </font>
    <font>
      <b/>
      <sz val="12"/>
      <color rgb="FF000000"/>
      <name val="Calibri"/>
      <family val="2"/>
      <scheme val="minor"/>
    </font>
    <font>
      <b/>
      <sz val="10"/>
      <name val="Calibri"/>
      <family val="2"/>
      <scheme val="minor"/>
    </font>
    <font>
      <sz val="10"/>
      <name val="Calibri"/>
      <family val="2"/>
      <scheme val="minor"/>
    </font>
    <font>
      <b/>
      <sz val="9"/>
      <color theme="1"/>
      <name val="Calibri"/>
      <family val="2"/>
      <scheme val="minor"/>
    </font>
    <font>
      <sz val="10"/>
      <color theme="1"/>
      <name val="Calibri"/>
      <family val="2"/>
      <scheme val="minor"/>
    </font>
    <font>
      <sz val="12"/>
      <color theme="1"/>
      <name val="Calibri"/>
      <family val="2"/>
      <scheme val="minor"/>
    </font>
    <font>
      <b/>
      <sz val="10"/>
      <color theme="1"/>
      <name val="Calibri"/>
      <family val="2"/>
      <scheme val="minor"/>
    </font>
    <font>
      <sz val="10"/>
      <color indexed="60"/>
      <name val="Calibri"/>
      <family val="2"/>
      <scheme val="minor"/>
    </font>
    <font>
      <b/>
      <sz val="10"/>
      <color indexed="60"/>
      <name val="Calibri"/>
      <family val="2"/>
      <scheme val="minor"/>
    </font>
    <font>
      <sz val="9"/>
      <color theme="1"/>
      <name val="Calibri"/>
      <family val="2"/>
      <scheme val="minor"/>
    </font>
    <font>
      <sz val="10"/>
      <color indexed="8"/>
      <name val="Calibri"/>
      <family val="2"/>
      <scheme val="minor"/>
    </font>
    <font>
      <sz val="10"/>
      <color indexed="10"/>
      <name val="Calibri"/>
      <family val="2"/>
      <scheme val="minor"/>
    </font>
    <font>
      <sz val="8"/>
      <color theme="1"/>
      <name val="Calibri"/>
      <family val="2"/>
      <scheme val="minor"/>
    </font>
    <font>
      <sz val="8"/>
      <color indexed="8"/>
      <name val="Calibri"/>
      <family val="2"/>
      <scheme val="minor"/>
    </font>
    <font>
      <b/>
      <sz val="10"/>
      <color rgb="FF4F6128"/>
      <name val="Calibri"/>
      <family val="2"/>
      <scheme val="minor"/>
    </font>
    <font>
      <b/>
      <sz val="10"/>
      <color theme="6" tint="-0.499984740745262"/>
      <name val="Calibri"/>
      <family val="2"/>
      <scheme val="minor"/>
    </font>
    <font>
      <b/>
      <sz val="13"/>
      <color rgb="FF1F497D"/>
      <name val="Calibri"/>
      <family val="2"/>
      <scheme val="minor"/>
    </font>
    <font>
      <b/>
      <sz val="9"/>
      <color rgb="FF7F7F7F"/>
      <name val="Calibri"/>
      <family val="2"/>
      <scheme val="minor"/>
    </font>
    <font>
      <b/>
      <sz val="8"/>
      <color indexed="8"/>
      <name val="Calibri"/>
      <family val="2"/>
      <scheme val="minor"/>
    </font>
    <font>
      <b/>
      <sz val="8"/>
      <color theme="1"/>
      <name val="Calibri"/>
      <family val="2"/>
      <scheme val="minor"/>
    </font>
    <font>
      <sz val="8"/>
      <name val="Calibri"/>
      <family val="2"/>
      <scheme val="minor"/>
    </font>
    <font>
      <b/>
      <sz val="8"/>
      <color rgb="FFFF0000"/>
      <name val="Calibri"/>
      <family val="2"/>
      <scheme val="minor"/>
    </font>
    <font>
      <b/>
      <sz val="10"/>
      <color rgb="FF1F497D"/>
      <name val="Calibri"/>
      <family val="2"/>
      <scheme val="minor"/>
    </font>
    <font>
      <sz val="12"/>
      <color rgb="FF000000"/>
      <name val="Calibri"/>
      <family val="2"/>
      <scheme val="minor"/>
    </font>
    <font>
      <b/>
      <sz val="12"/>
      <color indexed="8"/>
      <name val="Calibri"/>
      <family val="2"/>
      <scheme val="minor"/>
    </font>
    <font>
      <b/>
      <sz val="9"/>
      <color indexed="8"/>
      <name val="Calibri"/>
      <family val="2"/>
      <scheme val="minor"/>
    </font>
    <font>
      <sz val="9"/>
      <color indexed="8"/>
      <name val="Calibri"/>
      <family val="2"/>
      <scheme val="minor"/>
    </font>
    <font>
      <sz val="9"/>
      <name val="Calibri"/>
      <family val="2"/>
      <scheme val="minor"/>
    </font>
    <font>
      <b/>
      <sz val="9"/>
      <color rgb="FF4F6128"/>
      <name val="Calibri"/>
      <family val="2"/>
      <scheme val="minor"/>
    </font>
    <font>
      <b/>
      <sz val="9"/>
      <name val="Calibri"/>
      <family val="2"/>
      <scheme val="minor"/>
    </font>
    <font>
      <b/>
      <sz val="12"/>
      <color theme="8" tint="-0.249977111117893"/>
      <name val="Calibri"/>
      <family val="2"/>
      <scheme val="minor"/>
    </font>
    <font>
      <b/>
      <sz val="10"/>
      <color theme="9" tint="-0.499984740745262"/>
      <name val="Calibri"/>
      <family val="2"/>
      <scheme val="minor"/>
    </font>
    <font>
      <b/>
      <sz val="10"/>
      <color indexed="8"/>
      <name val="Calibri"/>
      <family val="2"/>
      <scheme val="minor"/>
    </font>
    <font>
      <b/>
      <i/>
      <sz val="9"/>
      <color theme="0" tint="-0.499984740745262"/>
      <name val="Calibri"/>
      <family val="2"/>
      <scheme val="minor"/>
    </font>
    <font>
      <b/>
      <i/>
      <sz val="8"/>
      <color theme="0" tint="-0.499984740745262"/>
      <name val="Calibri"/>
      <family val="2"/>
      <scheme val="minor"/>
    </font>
    <font>
      <sz val="10"/>
      <color theme="6" tint="-0.249977111117893"/>
      <name val="Calibri"/>
      <family val="2"/>
      <scheme val="minor"/>
    </font>
    <font>
      <b/>
      <sz val="9"/>
      <color theme="6" tint="-0.249977111117893"/>
      <name val="Calibri"/>
      <family val="2"/>
      <scheme val="minor"/>
    </font>
    <font>
      <b/>
      <sz val="14"/>
      <color theme="1"/>
      <name val="Calibri"/>
      <family val="2"/>
      <scheme val="minor"/>
    </font>
    <font>
      <sz val="11"/>
      <color rgb="FF000000"/>
      <name val="Calibri"/>
      <family val="2"/>
      <scheme val="minor"/>
    </font>
    <font>
      <b/>
      <sz val="12"/>
      <color rgb="FF4F6228"/>
      <name val="Calibri"/>
      <family val="2"/>
      <scheme val="minor"/>
    </font>
    <font>
      <b/>
      <sz val="10"/>
      <color rgb="FF4F6228"/>
      <name val="Calibri"/>
      <family val="2"/>
      <scheme val="minor"/>
    </font>
    <font>
      <sz val="12"/>
      <name val="Calibri"/>
      <family val="2"/>
      <scheme val="minor"/>
    </font>
    <font>
      <b/>
      <sz val="12"/>
      <name val="Calibri"/>
      <family val="2"/>
      <scheme val="minor"/>
    </font>
    <font>
      <b/>
      <sz val="12"/>
      <color rgb="FF4F6128"/>
      <name val="Calibri"/>
      <family val="2"/>
      <scheme val="minor"/>
    </font>
    <font>
      <b/>
      <sz val="12"/>
      <color rgb="FF548DD4"/>
      <name val="Calibri"/>
      <family val="2"/>
      <scheme val="minor"/>
    </font>
    <font>
      <b/>
      <sz val="12"/>
      <color rgb="FF595959"/>
      <name val="Calibri"/>
      <family val="2"/>
      <scheme val="minor"/>
    </font>
    <font>
      <sz val="10"/>
      <color theme="4" tint="-0.249977111117893"/>
      <name val="Calibri"/>
      <family val="2"/>
      <scheme val="minor"/>
    </font>
    <font>
      <sz val="10"/>
      <color indexed="16"/>
      <name val="Calibri"/>
      <family val="2"/>
      <scheme val="minor"/>
    </font>
    <font>
      <sz val="10"/>
      <color indexed="23"/>
      <name val="Calibri"/>
      <family val="2"/>
      <scheme val="minor"/>
    </font>
    <font>
      <sz val="10"/>
      <color indexed="17"/>
      <name val="Calibri"/>
      <family val="2"/>
      <scheme val="minor"/>
    </font>
    <font>
      <i/>
      <sz val="10"/>
      <color rgb="FF0070C0"/>
      <name val="Calibri"/>
      <family val="2"/>
      <scheme val="minor"/>
    </font>
    <font>
      <sz val="10"/>
      <color rgb="FF0070C0"/>
      <name val="Calibri"/>
      <family val="2"/>
      <scheme val="minor"/>
    </font>
    <font>
      <b/>
      <sz val="11"/>
      <color theme="6" tint="-0.499984740745262"/>
      <name val="Calibri"/>
      <family val="2"/>
      <scheme val="minor"/>
    </font>
    <font>
      <sz val="11"/>
      <color theme="6" tint="-0.499984740745262"/>
      <name val="Calibri"/>
      <family val="2"/>
      <scheme val="minor"/>
    </font>
    <font>
      <sz val="10"/>
      <color rgb="FF4F6128"/>
      <name val="Calibri"/>
      <family val="2"/>
      <scheme val="minor"/>
    </font>
    <font>
      <sz val="9"/>
      <color theme="6" tint="-0.499984740745262"/>
      <name val="Calibri"/>
      <family val="2"/>
      <scheme val="minor"/>
    </font>
    <font>
      <b/>
      <sz val="11"/>
      <color rgb="FF4F6128"/>
      <name val="Calibri"/>
      <family val="2"/>
      <scheme val="minor"/>
    </font>
    <font>
      <sz val="11"/>
      <name val="Calibri"/>
      <family val="2"/>
      <scheme val="minor"/>
    </font>
    <font>
      <sz val="9"/>
      <color rgb="FF000000"/>
      <name val="Calibri"/>
      <family val="2"/>
      <scheme val="minor"/>
    </font>
    <font>
      <sz val="12"/>
      <color theme="6" tint="-0.499984740745262"/>
      <name val="Calibri"/>
      <family val="2"/>
      <scheme val="minor"/>
    </font>
    <font>
      <b/>
      <sz val="14"/>
      <color rgb="FF4F6128"/>
      <name val="Calibri"/>
      <family val="2"/>
      <scheme val="minor"/>
    </font>
    <font>
      <b/>
      <sz val="9"/>
      <color theme="0"/>
      <name val="Calibri"/>
      <family val="2"/>
      <scheme val="minor"/>
    </font>
    <font>
      <sz val="9"/>
      <color theme="0"/>
      <name val="Calibri"/>
      <family val="2"/>
      <scheme val="minor"/>
    </font>
    <font>
      <b/>
      <sz val="10"/>
      <color theme="0"/>
      <name val="Calibri"/>
      <family val="2"/>
      <scheme val="minor"/>
    </font>
    <font>
      <i/>
      <sz val="10"/>
      <name val="Calibri"/>
      <family val="2"/>
      <scheme val="minor"/>
    </font>
    <font>
      <b/>
      <sz val="10"/>
      <name val="Arial"/>
      <family val="2"/>
      <charset val="1"/>
    </font>
    <font>
      <sz val="10"/>
      <name val="Arial"/>
      <family val="2"/>
      <charset val="1"/>
    </font>
    <font>
      <b/>
      <sz val="10"/>
      <color theme="1" tint="0.34998626667073579"/>
      <name val="Calibri"/>
      <family val="2"/>
      <scheme val="minor"/>
    </font>
    <font>
      <b/>
      <sz val="10"/>
      <name val="Arial"/>
      <family val="2"/>
    </font>
    <font>
      <sz val="9"/>
      <name val="Arial"/>
      <family val="2"/>
      <charset val="1"/>
    </font>
    <font>
      <b/>
      <sz val="9"/>
      <name val="Arial"/>
      <family val="2"/>
      <charset val="1"/>
    </font>
    <font>
      <b/>
      <sz val="12"/>
      <color theme="1"/>
      <name val="Calibri"/>
      <family val="2"/>
      <scheme val="minor"/>
    </font>
    <font>
      <sz val="11"/>
      <color theme="1"/>
      <name val="Garamond"/>
      <family val="1"/>
    </font>
    <font>
      <sz val="10"/>
      <color rgb="FFFF0000"/>
      <name val="Calibri"/>
      <family val="2"/>
      <scheme val="minor"/>
    </font>
    <font>
      <b/>
      <sz val="10"/>
      <color rgb="FF0070C0"/>
      <name val="Calibri"/>
      <family val="2"/>
      <scheme val="minor"/>
    </font>
    <font>
      <b/>
      <i/>
      <sz val="10"/>
      <color rgb="FFFF0000"/>
      <name val="Calibri"/>
      <family val="2"/>
      <scheme val="minor"/>
    </font>
    <font>
      <sz val="10"/>
      <color theme="6" tint="-0.499984740745262"/>
      <name val="Calibri"/>
      <family val="2"/>
      <scheme val="minor"/>
    </font>
    <font>
      <b/>
      <sz val="14"/>
      <name val="Calibri"/>
      <family val="2"/>
      <scheme val="minor"/>
    </font>
    <font>
      <sz val="12"/>
      <color theme="9" tint="-0.499984740745262"/>
      <name val="Calibri"/>
      <family val="2"/>
      <scheme val="minor"/>
    </font>
    <font>
      <i/>
      <sz val="8"/>
      <name val="Calibri"/>
      <family val="2"/>
      <scheme val="minor"/>
    </font>
    <font>
      <sz val="10"/>
      <color rgb="FF7030A0"/>
      <name val="Calibri"/>
      <family val="2"/>
      <scheme val="minor"/>
    </font>
    <font>
      <b/>
      <sz val="12"/>
      <color theme="0"/>
      <name val="Calibri"/>
      <family val="2"/>
      <scheme val="minor"/>
    </font>
    <font>
      <b/>
      <sz val="12"/>
      <color theme="8" tint="-0.499984740745262"/>
      <name val="Calibri"/>
      <family val="2"/>
      <scheme val="minor"/>
    </font>
    <font>
      <i/>
      <sz val="10"/>
      <color theme="9" tint="-0.499984740745262"/>
      <name val="Calibri"/>
      <family val="2"/>
      <scheme val="minor"/>
    </font>
    <font>
      <i/>
      <sz val="10"/>
      <color theme="3" tint="-0.249977111117893"/>
      <name val="Calibri"/>
      <family val="2"/>
      <scheme val="minor"/>
    </font>
    <font>
      <i/>
      <sz val="10"/>
      <color theme="5" tint="-0.249977111117893"/>
      <name val="Calibri"/>
      <family val="2"/>
      <scheme val="minor"/>
    </font>
    <font>
      <b/>
      <i/>
      <sz val="10"/>
      <name val="Calibri"/>
      <family val="2"/>
      <scheme val="minor"/>
    </font>
    <font>
      <vertAlign val="superscript"/>
      <sz val="10"/>
      <name val="Calibri"/>
      <family val="2"/>
      <scheme val="minor"/>
    </font>
    <font>
      <b/>
      <sz val="13"/>
      <color theme="3"/>
      <name val="Calibri"/>
      <family val="2"/>
      <scheme val="minor"/>
    </font>
    <font>
      <b/>
      <sz val="10"/>
      <color theme="3"/>
      <name val="Calibri"/>
      <family val="2"/>
      <scheme val="minor"/>
    </font>
    <font>
      <b/>
      <sz val="9"/>
      <color theme="1" tint="0.499984740745262"/>
      <name val="Calibri"/>
      <family val="2"/>
      <scheme val="minor"/>
    </font>
    <font>
      <b/>
      <sz val="10"/>
      <color theme="0" tint="-0.499984740745262"/>
      <name val="Calibri"/>
      <family val="2"/>
      <scheme val="minor"/>
    </font>
    <font>
      <b/>
      <sz val="8"/>
      <name val="Calibri"/>
      <family val="2"/>
      <scheme val="minor"/>
    </font>
    <font>
      <i/>
      <sz val="9"/>
      <name val="Calibri"/>
      <family val="2"/>
      <scheme val="minor"/>
    </font>
    <font>
      <b/>
      <sz val="11"/>
      <color theme="9" tint="-0.499984740745262"/>
      <name val="Calibri"/>
      <family val="2"/>
      <scheme val="minor"/>
    </font>
    <font>
      <b/>
      <sz val="10"/>
      <color rgb="FFFF0000"/>
      <name val="Calibri"/>
      <family val="2"/>
      <scheme val="minor"/>
    </font>
    <font>
      <sz val="8"/>
      <color rgb="FF000000"/>
      <name val="Calibri"/>
      <family val="2"/>
      <scheme val="minor"/>
    </font>
    <font>
      <sz val="11"/>
      <color rgb="FF000000"/>
      <name val="Calibri"/>
      <family val="2"/>
    </font>
    <font>
      <b/>
      <sz val="13"/>
      <color theme="0" tint="-0.499984740745262"/>
      <name val="Calibri"/>
      <family val="2"/>
      <scheme val="minor"/>
    </font>
    <font>
      <b/>
      <sz val="9"/>
      <color theme="0" tint="-0.499984740745262"/>
      <name val="Calibri"/>
      <family val="2"/>
      <scheme val="minor"/>
    </font>
    <font>
      <sz val="10"/>
      <color theme="0" tint="-0.499984740745262"/>
      <name val="Calibri"/>
      <family val="2"/>
      <scheme val="minor"/>
    </font>
    <font>
      <sz val="8"/>
      <color theme="0" tint="-0.499984740745262"/>
      <name val="Calibri"/>
      <family val="2"/>
      <scheme val="minor"/>
    </font>
  </fonts>
  <fills count="74">
    <fill>
      <patternFill patternType="none"/>
    </fill>
    <fill>
      <patternFill patternType="gray125"/>
    </fill>
    <fill>
      <patternFill patternType="solid">
        <fgColor theme="0"/>
        <bgColor theme="0"/>
      </patternFill>
    </fill>
    <fill>
      <patternFill patternType="solid">
        <fgColor rgb="FFA6FAC2"/>
        <bgColor rgb="FFEAF1DD"/>
      </patternFill>
    </fill>
    <fill>
      <patternFill patternType="solid">
        <fgColor rgb="FFA6FAC2"/>
        <bgColor indexed="64"/>
      </patternFill>
    </fill>
    <fill>
      <patternFill patternType="solid">
        <fgColor rgb="FFFFFFCC"/>
        <bgColor rgb="FFFFFFCC"/>
      </patternFill>
    </fill>
    <fill>
      <patternFill patternType="solid">
        <fgColor rgb="FFA6FAC2"/>
        <bgColor rgb="FFD6E3BC"/>
      </patternFill>
    </fill>
    <fill>
      <patternFill patternType="solid">
        <fgColor theme="0" tint="-4.9989318521683403E-2"/>
        <bgColor theme="0"/>
      </patternFill>
    </fill>
    <fill>
      <patternFill patternType="solid">
        <fgColor theme="0" tint="-4.9989318521683403E-2"/>
        <bgColor indexed="64"/>
      </patternFill>
    </fill>
    <fill>
      <patternFill patternType="solid">
        <fgColor theme="0"/>
        <bgColor rgb="FFFFFFCC"/>
      </patternFill>
    </fill>
    <fill>
      <patternFill patternType="solid">
        <fgColor theme="0"/>
        <bgColor indexed="64"/>
      </patternFill>
    </fill>
    <fill>
      <patternFill patternType="solid">
        <fgColor theme="0" tint="-4.9989318521683403E-2"/>
        <bgColor rgb="FFD8D8D8"/>
      </patternFill>
    </fill>
    <fill>
      <patternFill patternType="solid">
        <fgColor theme="0"/>
        <bgColor rgb="FFD8D8D8"/>
      </patternFill>
    </fill>
    <fill>
      <patternFill patternType="solid">
        <fgColor theme="0"/>
        <bgColor rgb="FFD6E3BC"/>
      </patternFill>
    </fill>
    <fill>
      <patternFill patternType="solid">
        <fgColor rgb="FFFFFFCC"/>
        <bgColor indexed="64"/>
      </patternFill>
    </fill>
    <fill>
      <patternFill patternType="solid">
        <fgColor rgb="FFFFFFFF"/>
        <bgColor rgb="FFFFFFCC"/>
      </patternFill>
    </fill>
    <fill>
      <patternFill patternType="solid">
        <fgColor rgb="FFFFFFFF"/>
        <bgColor rgb="FFFFFFFF"/>
      </patternFill>
    </fill>
    <fill>
      <patternFill patternType="solid">
        <fgColor rgb="FFA6FAC2"/>
        <bgColor rgb="FFA8FEB8"/>
      </patternFill>
    </fill>
    <fill>
      <patternFill patternType="solid">
        <fgColor rgb="FFA8FEB8"/>
        <bgColor rgb="FFA8FEB8"/>
      </patternFill>
    </fill>
    <fill>
      <patternFill patternType="solid">
        <fgColor rgb="FFFFFFCC"/>
        <bgColor rgb="FFEAF1DD"/>
      </patternFill>
    </fill>
    <fill>
      <patternFill patternType="solid">
        <fgColor rgb="FF8DB3E2"/>
        <bgColor rgb="FF8DB3E2"/>
      </patternFill>
    </fill>
    <fill>
      <patternFill patternType="solid">
        <fgColor theme="5" tint="0.59999389629810485"/>
        <bgColor indexed="64"/>
      </patternFill>
    </fill>
    <fill>
      <patternFill patternType="solid">
        <fgColor theme="4" tint="0.79998168889431442"/>
        <bgColor indexed="64"/>
      </patternFill>
    </fill>
    <fill>
      <patternFill patternType="solid">
        <fgColor theme="0"/>
        <bgColor rgb="FF8DB3E2"/>
      </patternFill>
    </fill>
    <fill>
      <patternFill patternType="solid">
        <fgColor theme="4" tint="0.39997558519241921"/>
        <bgColor indexed="64"/>
      </patternFill>
    </fill>
    <fill>
      <patternFill patternType="solid">
        <fgColor theme="0"/>
        <bgColor rgb="FFFBD4B4"/>
      </patternFill>
    </fill>
    <fill>
      <patternFill patternType="solid">
        <fgColor rgb="FFFBD4B4"/>
        <bgColor rgb="FFFBD4B4"/>
      </patternFill>
    </fill>
    <fill>
      <patternFill patternType="solid">
        <fgColor rgb="FFFEF2CB"/>
        <bgColor rgb="FFFEF2CB"/>
      </patternFill>
    </fill>
    <fill>
      <patternFill patternType="solid">
        <fgColor rgb="FFD9D9D9"/>
        <bgColor rgb="FFD9D9D9"/>
      </patternFill>
    </fill>
    <fill>
      <patternFill patternType="solid">
        <fgColor rgb="FFF2F2F2"/>
        <bgColor rgb="FFF2F2F2"/>
      </patternFill>
    </fill>
    <fill>
      <patternFill patternType="solid">
        <fgColor theme="0"/>
        <bgColor rgb="FFF2F2F2"/>
      </patternFill>
    </fill>
    <fill>
      <patternFill patternType="solid">
        <fgColor theme="0" tint="-4.9989318521683403E-2"/>
        <bgColor rgb="FFF2F2F2"/>
      </patternFill>
    </fill>
    <fill>
      <patternFill patternType="solid">
        <fgColor theme="0"/>
        <bgColor rgb="FFFBFAD1"/>
      </patternFill>
    </fill>
    <fill>
      <patternFill patternType="solid">
        <fgColor rgb="FF94FEB0"/>
        <bgColor indexed="64"/>
      </patternFill>
    </fill>
    <fill>
      <patternFill patternType="solid">
        <fgColor rgb="FFD8D8D8"/>
        <bgColor rgb="FFD8D8D8"/>
      </patternFill>
    </fill>
    <fill>
      <patternFill patternType="solid">
        <fgColor theme="0" tint="-0.14999847407452621"/>
        <bgColor rgb="FFD8D8D8"/>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rgb="FFA6FAC2"/>
        <bgColor theme="0"/>
      </patternFill>
    </fill>
    <fill>
      <patternFill patternType="solid">
        <fgColor theme="9" tint="0.79998168889431442"/>
        <bgColor rgb="FFD6E3BC"/>
      </patternFill>
    </fill>
    <fill>
      <patternFill patternType="solid">
        <fgColor theme="8" tint="0.79998168889431442"/>
        <bgColor rgb="FFD6E3BC"/>
      </patternFill>
    </fill>
    <fill>
      <patternFill patternType="solid">
        <fgColor theme="7" tint="0.79998168889431442"/>
        <bgColor rgb="FFD6E3BC"/>
      </patternFill>
    </fill>
    <fill>
      <patternFill patternType="solid">
        <fgColor theme="9" tint="0.59999389629810485"/>
        <bgColor rgb="FFD8D8D8"/>
      </patternFill>
    </fill>
    <fill>
      <patternFill patternType="solid">
        <fgColor theme="8" tint="0.59999389629810485"/>
        <bgColor rgb="FFD8D8D8"/>
      </patternFill>
    </fill>
    <fill>
      <patternFill patternType="solid">
        <fgColor theme="7" tint="0.59999389629810485"/>
        <bgColor rgb="FFD8D8D8"/>
      </patternFill>
    </fill>
    <fill>
      <patternFill patternType="solid">
        <fgColor rgb="FFA6FAC2"/>
        <bgColor rgb="FFD8D8D8"/>
      </patternFill>
    </fill>
    <fill>
      <patternFill patternType="solid">
        <fgColor theme="9" tint="0.59999389629810485"/>
        <bgColor rgb="FFD6E3BC"/>
      </patternFill>
    </fill>
    <fill>
      <patternFill patternType="solid">
        <fgColor theme="8" tint="0.59999389629810485"/>
        <bgColor rgb="FFD6E3BC"/>
      </patternFill>
    </fill>
    <fill>
      <patternFill patternType="solid">
        <fgColor theme="7" tint="0.59999389629810485"/>
        <bgColor rgb="FFD6E3BC"/>
      </patternFill>
    </fill>
    <fill>
      <patternFill patternType="solid">
        <fgColor theme="0" tint="-4.9989318521683403E-2"/>
        <bgColor rgb="FFD6E3BC"/>
      </patternFill>
    </fill>
    <fill>
      <patternFill patternType="solid">
        <fgColor theme="9" tint="0.79998168889431442"/>
        <bgColor rgb="FFD8D8D8"/>
      </patternFill>
    </fill>
    <fill>
      <patternFill patternType="solid">
        <fgColor theme="8" tint="0.79998168889431442"/>
        <bgColor rgb="FFD8D8D8"/>
      </patternFill>
    </fill>
    <fill>
      <patternFill patternType="solid">
        <fgColor theme="7" tint="0.79998168889431442"/>
        <bgColor rgb="FFD8D8D8"/>
      </patternFill>
    </fill>
    <fill>
      <patternFill patternType="solid">
        <fgColor rgb="FFDBE5F1"/>
        <bgColor rgb="FFDBE5F1"/>
      </patternFill>
    </fill>
    <fill>
      <patternFill patternType="solid">
        <fgColor theme="0" tint="-0.14999847407452621"/>
        <bgColor theme="0"/>
      </patternFill>
    </fill>
    <fill>
      <patternFill patternType="solid">
        <fgColor rgb="FFFFFFFF"/>
        <bgColor rgb="FFF2F2F2"/>
      </patternFill>
    </fill>
    <fill>
      <patternFill patternType="solid">
        <fgColor rgb="FF7DFBB0"/>
        <bgColor indexed="64"/>
      </patternFill>
    </fill>
    <fill>
      <patternFill patternType="solid">
        <fgColor rgb="FF7DFBB0"/>
        <bgColor theme="0"/>
      </patternFill>
    </fill>
    <fill>
      <patternFill patternType="solid">
        <fgColor theme="8" tint="0.79998168889431442"/>
        <bgColor rgb="FFFFFFCC"/>
      </patternFill>
    </fill>
    <fill>
      <patternFill patternType="solid">
        <fgColor theme="0" tint="-0.14999847407452621"/>
        <bgColor rgb="FFA7C0DE"/>
      </patternFill>
    </fill>
    <fill>
      <patternFill patternType="solid">
        <fgColor theme="9" tint="0.79998168889431442"/>
        <bgColor rgb="FFFFFFCC"/>
      </patternFill>
    </fill>
    <fill>
      <patternFill patternType="solid">
        <fgColor rgb="FF98FEAB"/>
        <bgColor indexed="64"/>
      </patternFill>
    </fill>
    <fill>
      <patternFill patternType="solid">
        <fgColor rgb="FFFEF3A2"/>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8" tint="-0.499984740745262"/>
        <bgColor indexed="64"/>
      </patternFill>
    </fill>
    <fill>
      <patternFill patternType="solid">
        <fgColor theme="7" tint="0.79998168889431442"/>
        <bgColor theme="0"/>
      </patternFill>
    </fill>
    <fill>
      <patternFill patternType="solid">
        <fgColor rgb="FFCCFECE"/>
        <bgColor indexed="64"/>
      </patternFill>
    </fill>
    <fill>
      <patternFill patternType="solid">
        <fgColor rgb="FF9EFCC4"/>
        <bgColor indexed="64"/>
      </patternFill>
    </fill>
    <fill>
      <patternFill patternType="solid">
        <fgColor rgb="FF9EFCC4"/>
        <bgColor rgb="FFFFFFCC"/>
      </patternFill>
    </fill>
    <fill>
      <patternFill patternType="solid">
        <fgColor theme="5" tint="0.39997558519241921"/>
        <bgColor rgb="FFFFFFCC"/>
      </patternFill>
    </fill>
    <fill>
      <patternFill patternType="solid">
        <fgColor rgb="FFCAFED8"/>
        <bgColor rgb="FF000000"/>
      </patternFill>
    </fill>
    <fill>
      <patternFill patternType="solid">
        <fgColor rgb="FFBBFDD6"/>
        <bgColor indexed="64"/>
      </patternFill>
    </fill>
  </fills>
  <borders count="136">
    <border>
      <left/>
      <right/>
      <top/>
      <bottom/>
      <diagonal/>
    </border>
    <border>
      <left/>
      <right/>
      <top/>
      <bottom style="medium">
        <color theme="4" tint="0.3999755851924192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right style="thin">
        <color indexed="64"/>
      </right>
      <top style="thin">
        <color indexed="64"/>
      </top>
      <bottom style="thin">
        <color indexed="64"/>
      </bottom>
      <diagonal/>
    </border>
    <border>
      <left/>
      <right/>
      <top/>
      <bottom style="thick">
        <color theme="6" tint="0.39994506668294322"/>
      </bottom>
      <diagonal/>
    </border>
    <border>
      <left style="thin">
        <color indexed="64"/>
      </left>
      <right style="thin">
        <color indexed="64"/>
      </right>
      <top style="thin">
        <color indexed="64"/>
      </top>
      <bottom style="thin">
        <color indexed="64"/>
      </bottom>
      <diagonal/>
    </border>
    <border>
      <left/>
      <right style="thin">
        <color rgb="FF000000"/>
      </right>
      <top/>
      <bottom style="thick">
        <color theme="6" tint="0.39994506668294322"/>
      </bottom>
      <diagonal/>
    </border>
    <border>
      <left style="thin">
        <color rgb="FF000000"/>
      </left>
      <right style="thin">
        <color rgb="FF000000"/>
      </right>
      <top style="thin">
        <color rgb="FF000000"/>
      </top>
      <bottom style="thick">
        <color theme="6" tint="0.39994506668294322"/>
      </bottom>
      <diagonal/>
    </border>
    <border>
      <left style="thin">
        <color rgb="FF000000"/>
      </left>
      <right/>
      <top style="thin">
        <color rgb="FF000000"/>
      </top>
      <bottom style="thick">
        <color theme="6" tint="0.39994506668294322"/>
      </bottom>
      <diagonal/>
    </border>
    <border>
      <left style="thin">
        <color indexed="64"/>
      </left>
      <right style="thin">
        <color indexed="64"/>
      </right>
      <top style="thin">
        <color indexed="64"/>
      </top>
      <bottom style="thick">
        <color theme="6" tint="0.39994506668294322"/>
      </bottom>
      <diagonal/>
    </border>
    <border>
      <left style="thin">
        <color indexed="64"/>
      </left>
      <right/>
      <top style="thin">
        <color indexed="64"/>
      </top>
      <bottom style="thick">
        <color theme="6" tint="0.39994506668294322"/>
      </bottom>
      <diagonal/>
    </border>
    <border>
      <left/>
      <right style="thin">
        <color indexed="64"/>
      </right>
      <top style="thin">
        <color indexed="64"/>
      </top>
      <bottom style="thick">
        <color theme="6" tint="0.39994506668294322"/>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rgb="FF000000"/>
      </right>
      <top style="thin">
        <color rgb="FF000000"/>
      </top>
      <bottom style="thick">
        <color theme="6" tint="0.39994506668294322"/>
      </bottom>
      <diagonal/>
    </border>
    <border>
      <left style="thin">
        <color rgb="FF000000"/>
      </left>
      <right/>
      <top style="thin">
        <color indexed="64"/>
      </top>
      <bottom style="thick">
        <color theme="6" tint="0.39994506668294322"/>
      </bottom>
      <diagonal/>
    </border>
    <border>
      <left/>
      <right style="thin">
        <color rgb="FF000000"/>
      </right>
      <top style="thin">
        <color indexed="64"/>
      </top>
      <bottom style="thick">
        <color theme="6" tint="0.39994506668294322"/>
      </bottom>
      <diagonal/>
    </border>
    <border>
      <left style="thin">
        <color rgb="FF000000"/>
      </left>
      <right/>
      <top style="thick">
        <color theme="6" tint="0.39994506668294322"/>
      </top>
      <bottom style="thin">
        <color rgb="FF000000"/>
      </bottom>
      <diagonal/>
    </border>
    <border>
      <left/>
      <right style="thin">
        <color rgb="FF000000"/>
      </right>
      <top style="thick">
        <color theme="6" tint="0.39994506668294322"/>
      </top>
      <bottom style="thin">
        <color rgb="FF000000"/>
      </bottom>
      <diagonal/>
    </border>
    <border>
      <left style="thin">
        <color indexed="64"/>
      </left>
      <right/>
      <top style="thick">
        <color theme="6" tint="0.39994506668294322"/>
      </top>
      <bottom style="thin">
        <color indexed="64"/>
      </bottom>
      <diagonal/>
    </border>
    <border>
      <left/>
      <right/>
      <top style="thick">
        <color theme="6" tint="0.39994506668294322"/>
      </top>
      <bottom style="thin">
        <color indexed="64"/>
      </bottom>
      <diagonal/>
    </border>
    <border>
      <left/>
      <right/>
      <top/>
      <bottom style="thick">
        <color theme="4" tint="0.39994506668294322"/>
      </bottom>
      <diagonal/>
    </border>
    <border>
      <left/>
      <right/>
      <top/>
      <bottom style="medium">
        <color rgb="FF95B3D7"/>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thick">
        <color rgb="FFA7C0DE"/>
      </bottom>
      <diagonal/>
    </border>
    <border>
      <left/>
      <right style="medium">
        <color rgb="FF000000"/>
      </right>
      <top style="thin">
        <color rgb="FF000000"/>
      </top>
      <bottom/>
      <diagonal/>
    </border>
    <border>
      <left style="medium">
        <color rgb="FF000000"/>
      </left>
      <right style="medium">
        <color rgb="FF000000"/>
      </right>
      <top style="medium">
        <color rgb="FF000000"/>
      </top>
      <bottom style="medium">
        <color rgb="FF000000"/>
      </bottom>
      <diagonal/>
    </border>
    <border>
      <left style="medium">
        <color rgb="FF000000"/>
      </left>
      <right/>
      <top/>
      <bottom/>
      <diagonal/>
    </border>
    <border>
      <left/>
      <right/>
      <top style="medium">
        <color rgb="FF95B3D7"/>
      </top>
      <bottom style="medium">
        <color rgb="FF95B3D7"/>
      </bottom>
      <diagonal/>
    </border>
    <border>
      <left/>
      <right/>
      <top style="medium">
        <color rgb="FF95B3D7"/>
      </top>
      <bottom/>
      <diagonal/>
    </border>
    <border>
      <left/>
      <right style="medium">
        <color rgb="FF000000"/>
      </right>
      <top style="medium">
        <color rgb="FF95B3D7"/>
      </top>
      <bottom/>
      <diagonal/>
    </border>
    <border>
      <left style="thin">
        <color rgb="FF000000"/>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double">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thick">
        <color theme="9" tint="0.39994506668294322"/>
      </bottom>
      <diagonal/>
    </border>
    <border>
      <left/>
      <right/>
      <top/>
      <bottom style="thick">
        <color rgb="FFC3D69B"/>
      </bottom>
      <diagonal/>
    </border>
    <border>
      <left style="thin">
        <color rgb="FF000000"/>
      </left>
      <right/>
      <top style="thick">
        <color rgb="FFC3D69B"/>
      </top>
      <bottom style="thin">
        <color rgb="FF000000"/>
      </bottom>
      <diagonal/>
    </border>
    <border>
      <left/>
      <right/>
      <top style="thick">
        <color rgb="FFC3D69B"/>
      </top>
      <bottom style="thin">
        <color rgb="FF000000"/>
      </bottom>
      <diagonal/>
    </border>
    <border>
      <left style="medium">
        <color indexed="64"/>
      </left>
      <right style="medium">
        <color indexed="64"/>
      </right>
      <top style="medium">
        <color indexed="64"/>
      </top>
      <bottom style="medium">
        <color indexed="64"/>
      </bottom>
      <diagonal/>
    </border>
    <border>
      <left style="thin">
        <color rgb="FF000000"/>
      </left>
      <right/>
      <top style="thin">
        <color indexed="64"/>
      </top>
      <bottom style="thin">
        <color rgb="FF000000"/>
      </bottom>
      <diagonal/>
    </border>
    <border>
      <left style="thin">
        <color rgb="FF000000"/>
      </left>
      <right/>
      <top style="thin">
        <color rgb="FF000000"/>
      </top>
      <bottom style="thin">
        <color indexed="64"/>
      </bottom>
      <diagonal/>
    </border>
    <border>
      <left style="thin">
        <color rgb="FF000000"/>
      </left>
      <right/>
      <top/>
      <bottom style="thin">
        <color indexed="64"/>
      </bottom>
      <diagonal/>
    </border>
    <border>
      <left/>
      <right/>
      <top/>
      <bottom style="thick">
        <color rgb="FFC2D69B"/>
      </bottom>
      <diagonal/>
    </border>
    <border>
      <left style="thin">
        <color rgb="FF000000"/>
      </left>
      <right style="thin">
        <color rgb="FF000000"/>
      </right>
      <top style="thick">
        <color rgb="FFC2D69B"/>
      </top>
      <bottom style="thin">
        <color rgb="FF000000"/>
      </bottom>
      <diagonal/>
    </border>
    <border>
      <left/>
      <right style="thin">
        <color indexed="64"/>
      </right>
      <top style="thin">
        <color rgb="FF000000"/>
      </top>
      <bottom/>
      <diagonal/>
    </border>
    <border>
      <left style="thin">
        <color rgb="FF000000"/>
      </left>
      <right style="thin">
        <color rgb="FF000000"/>
      </right>
      <top style="thin">
        <color rgb="FF000000"/>
      </top>
      <bottom style="medium">
        <color indexed="64"/>
      </bottom>
      <diagonal/>
    </border>
    <border>
      <left/>
      <right style="thin">
        <color rgb="FF000000"/>
      </right>
      <top style="thick">
        <color rgb="FFC2D69B"/>
      </top>
      <bottom style="thin">
        <color rgb="FF000000"/>
      </bottom>
      <diagonal/>
    </border>
    <border>
      <left style="medium">
        <color indexed="64"/>
      </left>
      <right/>
      <top/>
      <bottom/>
      <diagonal/>
    </border>
    <border>
      <left/>
      <right style="medium">
        <color indexed="64"/>
      </right>
      <top/>
      <bottom/>
      <diagonal/>
    </border>
    <border>
      <left style="thin">
        <color rgb="FF000000"/>
      </left>
      <right style="thin">
        <color indexed="64"/>
      </right>
      <top style="thick">
        <color rgb="FFC2D69B"/>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indexed="64"/>
      </top>
      <bottom style="thin">
        <color indexed="64"/>
      </bottom>
      <diagonal/>
    </border>
    <border>
      <left style="thin">
        <color indexed="64"/>
      </left>
      <right style="thin">
        <color rgb="FF000000"/>
      </right>
      <top style="thick">
        <color rgb="FFC2D69B"/>
      </top>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ck">
        <color rgb="FFC2D69B"/>
      </top>
      <bottom/>
      <diagonal/>
    </border>
    <border>
      <left/>
      <right/>
      <top/>
      <bottom style="thick">
        <color rgb="FFB8CCE4"/>
      </bottom>
      <diagonal/>
    </border>
    <border>
      <left style="thin">
        <color rgb="FF000000"/>
      </left>
      <right style="thin">
        <color rgb="FF000000"/>
      </right>
      <top style="thick">
        <color rgb="FFB8CCE4"/>
      </top>
      <bottom/>
      <diagonal/>
    </border>
    <border>
      <left/>
      <right/>
      <top/>
      <bottom style="thick">
        <color rgb="FFBFBFBF"/>
      </bottom>
      <diagonal/>
    </border>
    <border>
      <left/>
      <right/>
      <top/>
      <bottom style="thick">
        <color theme="8" tint="0.39994506668294322"/>
      </bottom>
      <diagonal/>
    </border>
    <border>
      <left/>
      <right/>
      <top style="thick">
        <color theme="0" tint="-0.24994659260841701"/>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ck">
        <color theme="6" tint="0.39994506668294322"/>
      </top>
      <bottom style="thin">
        <color rgb="FF000000"/>
      </bottom>
      <diagonal/>
    </border>
    <border>
      <left style="thin">
        <color rgb="FF000000"/>
      </left>
      <right style="thin">
        <color rgb="FF000000"/>
      </right>
      <top style="thick">
        <color theme="6" tint="0.39994506668294322"/>
      </top>
      <bottom style="thin">
        <color rgb="FF000000"/>
      </bottom>
      <diagonal/>
    </border>
    <border>
      <left/>
      <right/>
      <top/>
      <bottom style="thick">
        <color theme="9" tint="0.59996337778862885"/>
      </bottom>
      <diagonal/>
    </border>
    <border>
      <left style="thin">
        <color auto="1"/>
      </left>
      <right style="thin">
        <color auto="1"/>
      </right>
      <top style="thick">
        <color rgb="FFC2D69B"/>
      </top>
      <bottom style="thin">
        <color indexed="64"/>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ck">
        <color rgb="FFC2D69B"/>
      </top>
      <bottom style="thin">
        <color indexed="64"/>
      </bottom>
      <diagonal/>
    </border>
    <border>
      <left/>
      <right/>
      <top style="medium">
        <color rgb="FF1D08B8"/>
      </top>
      <bottom/>
      <diagonal/>
    </border>
    <border>
      <left style="medium">
        <color rgb="FF1D08B8"/>
      </left>
      <right/>
      <top/>
      <bottom/>
      <diagonal/>
    </border>
    <border>
      <left/>
      <right/>
      <top/>
      <bottom style="thick">
        <color theme="0" tint="-0.14996795556505021"/>
      </bottom>
      <diagonal/>
    </border>
    <border>
      <left/>
      <right/>
      <top style="thin">
        <color indexed="64"/>
      </top>
      <bottom style="thick">
        <color theme="9" tint="0.59996337778862885"/>
      </bottom>
      <diagonal/>
    </border>
    <border>
      <left style="thin">
        <color rgb="FF000000"/>
      </left>
      <right style="thin">
        <color indexed="64"/>
      </right>
      <top/>
      <bottom style="thin">
        <color rgb="FF000000"/>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rgb="FF000000"/>
      </bottom>
      <diagonal/>
    </border>
    <border>
      <left style="medium">
        <color indexed="64"/>
      </left>
      <right style="medium">
        <color indexed="64"/>
      </right>
      <top/>
      <bottom style="thick">
        <color theme="6" tint="0.39994506668294322"/>
      </bottom>
      <diagonal/>
    </border>
    <border>
      <left/>
      <right style="thin">
        <color indexed="64"/>
      </right>
      <top style="thick">
        <color theme="6" tint="0.39994506668294322"/>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rgb="FF000000"/>
      </bottom>
      <diagonal/>
    </border>
    <border>
      <left/>
      <right style="thin">
        <color indexed="64"/>
      </right>
      <top style="thin">
        <color indexed="64"/>
      </top>
      <bottom style="medium">
        <color indexed="64"/>
      </bottom>
      <diagonal/>
    </border>
    <border>
      <left/>
      <right/>
      <top/>
      <bottom style="thick">
        <color theme="4" tint="0.499984740745262"/>
      </bottom>
      <diagonal/>
    </border>
    <border>
      <left/>
      <right/>
      <top style="thick">
        <color theme="4" tint="0.499984740745262"/>
      </top>
      <bottom style="thin">
        <color indexed="64"/>
      </bottom>
      <diagonal/>
    </border>
    <border>
      <left style="thin">
        <color rgb="FF000000"/>
      </left>
      <right/>
      <top style="thin">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rgb="FF000000"/>
      </right>
      <top style="medium">
        <color indexed="64"/>
      </top>
      <bottom style="thin">
        <color rgb="FF000000"/>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rgb="FF000000"/>
      </right>
      <top style="thin">
        <color rgb="FF000000"/>
      </top>
      <bottom style="thin">
        <color rgb="FF000000"/>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rgb="FF000000"/>
      </bottom>
      <diagonal/>
    </border>
    <border>
      <left/>
      <right/>
      <top/>
      <bottom style="thick">
        <color theme="0" tint="-0.24994659260841701"/>
      </bottom>
      <diagonal/>
    </border>
    <border>
      <left/>
      <right/>
      <top style="thick">
        <color theme="0" tint="-0.24994659260841701"/>
      </top>
      <bottom style="thick">
        <color theme="0" tint="-0.24994659260841701"/>
      </bottom>
      <diagonal/>
    </border>
    <border>
      <left/>
      <right/>
      <top style="thick">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s>
  <cellStyleXfs count="8">
    <xf numFmtId="0" fontId="0" fillId="0" borderId="0"/>
    <xf numFmtId="44" fontId="1" fillId="0" borderId="0" applyFont="0" applyFill="0" applyBorder="0" applyAlignment="0" applyProtection="0"/>
    <xf numFmtId="0" fontId="2" fillId="0" borderId="1" applyNumberFormat="0" applyFill="0" applyAlignment="0" applyProtection="0"/>
    <xf numFmtId="0" fontId="5" fillId="0" borderId="0"/>
    <xf numFmtId="9" fontId="1" fillId="0" borderId="0" applyFont="0" applyFill="0" applyBorder="0" applyAlignment="0" applyProtection="0"/>
    <xf numFmtId="165" fontId="5" fillId="0" borderId="0" applyFont="0" applyFill="0" applyBorder="0" applyAlignment="0" applyProtection="0"/>
    <xf numFmtId="0" fontId="100" fillId="0" borderId="116" applyNumberFormat="0" applyFill="0" applyAlignment="0" applyProtection="0"/>
    <xf numFmtId="0" fontId="5" fillId="0" borderId="0"/>
  </cellStyleXfs>
  <cellXfs count="1343">
    <xf numFmtId="0" fontId="0" fillId="0" borderId="0" xfId="0"/>
    <xf numFmtId="0" fontId="0" fillId="0" borderId="0" xfId="0" applyFont="1" applyAlignment="1"/>
    <xf numFmtId="44" fontId="8" fillId="0" borderId="0" xfId="0" applyNumberFormat="1" applyFont="1" applyBorder="1" applyAlignment="1">
      <alignment vertical="center"/>
    </xf>
    <xf numFmtId="44" fontId="8" fillId="10" borderId="0" xfId="0" applyNumberFormat="1" applyFont="1" applyFill="1" applyBorder="1" applyAlignment="1">
      <alignment horizontal="center" vertical="center"/>
    </xf>
    <xf numFmtId="44" fontId="8" fillId="10" borderId="0" xfId="0" applyNumberFormat="1" applyFont="1" applyFill="1" applyBorder="1" applyAlignment="1"/>
    <xf numFmtId="0" fontId="0" fillId="0" borderId="0" xfId="0" applyFont="1" applyBorder="1" applyAlignment="1"/>
    <xf numFmtId="0" fontId="9" fillId="0" borderId="0" xfId="0" applyFont="1" applyFill="1" applyBorder="1" applyAlignment="1"/>
    <xf numFmtId="0" fontId="9" fillId="0" borderId="0" xfId="0" applyFont="1" applyFill="1" applyBorder="1" applyAlignment="1">
      <alignment vertical="center"/>
    </xf>
    <xf numFmtId="0" fontId="8" fillId="0" borderId="0" xfId="0" applyFont="1" applyAlignment="1">
      <alignment horizontal="right" vertical="center"/>
    </xf>
    <xf numFmtId="0" fontId="0" fillId="0" borderId="0" xfId="0" applyFont="1" applyAlignment="1">
      <alignment vertical="center"/>
    </xf>
    <xf numFmtId="0" fontId="0" fillId="0" borderId="0" xfId="0" applyFont="1" applyFill="1" applyBorder="1" applyAlignment="1">
      <alignment vertical="center"/>
    </xf>
    <xf numFmtId="0" fontId="11" fillId="0" borderId="0" xfId="2" applyFont="1" applyBorder="1" applyAlignment="1" applyProtection="1">
      <alignment vertical="center"/>
    </xf>
    <xf numFmtId="0" fontId="0" fillId="0" borderId="14" xfId="0" applyFont="1" applyBorder="1" applyAlignment="1">
      <alignment vertical="center"/>
    </xf>
    <xf numFmtId="44" fontId="8" fillId="0" borderId="34" xfId="0" applyNumberFormat="1" applyFont="1" applyBorder="1" applyAlignment="1">
      <alignment vertical="center"/>
    </xf>
    <xf numFmtId="0" fontId="13" fillId="0" borderId="0" xfId="0" applyFont="1" applyFill="1" applyBorder="1" applyAlignment="1" applyProtection="1">
      <alignment horizontal="left" vertical="center"/>
    </xf>
    <xf numFmtId="0" fontId="14" fillId="0" borderId="0" xfId="3" applyFont="1" applyBorder="1" applyAlignment="1" applyProtection="1">
      <alignment horizontal="left" vertical="center" wrapText="1"/>
    </xf>
    <xf numFmtId="0" fontId="14" fillId="0" borderId="0" xfId="0" applyFont="1" applyFill="1" applyBorder="1" applyAlignment="1" applyProtection="1">
      <alignment horizontal="left" vertical="center"/>
    </xf>
    <xf numFmtId="0" fontId="13" fillId="0" borderId="0" xfId="0" applyFont="1" applyFill="1" applyBorder="1" applyAlignment="1" applyProtection="1">
      <alignment horizontal="center" vertical="center"/>
    </xf>
    <xf numFmtId="0" fontId="15" fillId="35" borderId="81" xfId="0" applyFont="1" applyFill="1" applyBorder="1" applyAlignment="1" applyProtection="1">
      <alignment horizontal="center" vertical="center" wrapText="1"/>
    </xf>
    <xf numFmtId="0" fontId="14" fillId="0" borderId="26" xfId="3" applyFont="1" applyBorder="1" applyAlignment="1" applyProtection="1">
      <alignment vertical="center"/>
    </xf>
    <xf numFmtId="0" fontId="14" fillId="0" borderId="0" xfId="3" applyFont="1" applyAlignment="1" applyProtection="1">
      <alignment vertical="center"/>
    </xf>
    <xf numFmtId="0" fontId="11" fillId="0" borderId="0" xfId="2" applyFont="1" applyBorder="1" applyAlignment="1" applyProtection="1">
      <alignment horizontal="left"/>
    </xf>
    <xf numFmtId="0" fontId="14" fillId="0" borderId="0" xfId="3" applyFont="1" applyAlignment="1" applyProtection="1">
      <alignment horizontal="right" vertical="top" wrapText="1"/>
    </xf>
    <xf numFmtId="0" fontId="13" fillId="0" borderId="0" xfId="3" applyFont="1" applyBorder="1" applyAlignment="1" applyProtection="1">
      <alignment vertical="center"/>
    </xf>
    <xf numFmtId="0" fontId="13" fillId="0" borderId="0" xfId="0" applyFont="1" applyBorder="1" applyAlignment="1" applyProtection="1">
      <alignment vertical="center"/>
    </xf>
    <xf numFmtId="170" fontId="13" fillId="0" borderId="0" xfId="0" applyNumberFormat="1" applyFont="1" applyBorder="1" applyAlignment="1" applyProtection="1">
      <alignment vertical="center"/>
    </xf>
    <xf numFmtId="0" fontId="14" fillId="0" borderId="0" xfId="0" applyFont="1" applyProtection="1"/>
    <xf numFmtId="0" fontId="8" fillId="0" borderId="0" xfId="0" applyFont="1" applyAlignment="1">
      <alignment vertical="center"/>
    </xf>
    <xf numFmtId="0" fontId="8" fillId="0" borderId="0" xfId="0" applyFont="1" applyAlignment="1">
      <alignment horizontal="center" vertical="center"/>
    </xf>
    <xf numFmtId="0" fontId="16" fillId="2" borderId="0" xfId="0" applyFont="1" applyFill="1" applyBorder="1"/>
    <xf numFmtId="0" fontId="16" fillId="2" borderId="0" xfId="0" applyFont="1" applyFill="1" applyBorder="1" applyAlignment="1">
      <alignment horizontal="center" vertical="center"/>
    </xf>
    <xf numFmtId="0" fontId="18" fillId="2" borderId="0" xfId="0" applyFont="1" applyFill="1" applyBorder="1"/>
    <xf numFmtId="0" fontId="16" fillId="0" borderId="0" xfId="0" applyFont="1"/>
    <xf numFmtId="0" fontId="16" fillId="20" borderId="10" xfId="0" applyFont="1" applyFill="1" applyBorder="1" applyAlignment="1">
      <alignment horizontal="center" vertical="center" wrapText="1"/>
    </xf>
    <xf numFmtId="4" fontId="16" fillId="20" borderId="10" xfId="0" applyNumberFormat="1" applyFont="1" applyFill="1" applyBorder="1" applyAlignment="1">
      <alignment horizontal="center" vertical="center" wrapText="1"/>
    </xf>
    <xf numFmtId="4" fontId="16" fillId="20" borderId="19" xfId="0" applyNumberFormat="1" applyFont="1" applyFill="1" applyBorder="1" applyAlignment="1">
      <alignment horizontal="center" vertical="center" wrapText="1"/>
    </xf>
    <xf numFmtId="4" fontId="16" fillId="20" borderId="13" xfId="0" applyNumberFormat="1" applyFont="1" applyFill="1" applyBorder="1" applyAlignment="1">
      <alignment horizontal="center" vertical="center" wrapText="1"/>
    </xf>
    <xf numFmtId="4" fontId="16" fillId="20" borderId="27" xfId="0" applyNumberFormat="1" applyFont="1" applyFill="1" applyBorder="1" applyAlignment="1">
      <alignment horizontal="center" vertical="center" wrapText="1"/>
    </xf>
    <xf numFmtId="0" fontId="16" fillId="10" borderId="10" xfId="0" applyFont="1" applyFill="1" applyBorder="1" applyAlignment="1">
      <alignment horizontal="center" vertical="center"/>
    </xf>
    <xf numFmtId="44" fontId="16" fillId="6" borderId="10" xfId="0" applyNumberFormat="1" applyFont="1" applyFill="1" applyBorder="1" applyAlignment="1">
      <alignment horizontal="center" vertical="center"/>
    </xf>
    <xf numFmtId="0" fontId="16" fillId="4" borderId="22" xfId="0" applyFont="1" applyFill="1" applyBorder="1" applyAlignment="1">
      <alignment horizontal="center" vertical="center"/>
    </xf>
    <xf numFmtId="2" fontId="8" fillId="10" borderId="27" xfId="0" applyNumberFormat="1" applyFont="1" applyFill="1" applyBorder="1" applyAlignment="1">
      <alignment horizontal="center" vertical="center"/>
    </xf>
    <xf numFmtId="0" fontId="8" fillId="0" borderId="0" xfId="0" applyFont="1"/>
    <xf numFmtId="0" fontId="16" fillId="21" borderId="10" xfId="0" applyFont="1" applyFill="1" applyBorder="1" applyAlignment="1">
      <alignment horizontal="center" vertical="center"/>
    </xf>
    <xf numFmtId="2" fontId="8" fillId="21" borderId="27" xfId="0" applyNumberFormat="1" applyFont="1" applyFill="1" applyBorder="1" applyAlignment="1">
      <alignment horizontal="center" vertical="center"/>
    </xf>
    <xf numFmtId="0" fontId="16" fillId="22" borderId="10" xfId="0" applyFont="1" applyFill="1" applyBorder="1" applyAlignment="1">
      <alignment horizontal="center" vertical="center"/>
    </xf>
    <xf numFmtId="44" fontId="18" fillId="6" borderId="10" xfId="0" applyNumberFormat="1" applyFont="1" applyFill="1" applyBorder="1" applyAlignment="1">
      <alignment horizontal="center" vertical="center"/>
    </xf>
    <xf numFmtId="2" fontId="8" fillId="22" borderId="27" xfId="0" applyNumberFormat="1" applyFont="1" applyFill="1" applyBorder="1" applyAlignment="1">
      <alignment horizontal="center" vertical="center"/>
    </xf>
    <xf numFmtId="0" fontId="16" fillId="10" borderId="10" xfId="0" applyFont="1" applyFill="1" applyBorder="1" applyAlignment="1">
      <alignment horizontal="center" vertical="center" wrapText="1"/>
    </xf>
    <xf numFmtId="0" fontId="16" fillId="0" borderId="0" xfId="0" applyFont="1" applyAlignment="1">
      <alignment horizontal="center" vertical="center"/>
    </xf>
    <xf numFmtId="4" fontId="16" fillId="23" borderId="19" xfId="0" applyNumberFormat="1" applyFont="1" applyFill="1" applyBorder="1" applyAlignment="1">
      <alignment horizontal="center" vertical="center" wrapText="1"/>
    </xf>
    <xf numFmtId="4" fontId="16" fillId="23" borderId="57" xfId="0" applyNumberFormat="1" applyFont="1" applyFill="1" applyBorder="1" applyAlignment="1">
      <alignment horizontal="center" vertical="center" wrapText="1"/>
    </xf>
    <xf numFmtId="0" fontId="18" fillId="24" borderId="10" xfId="0" applyFont="1" applyFill="1" applyBorder="1" applyAlignment="1">
      <alignment horizontal="center" vertical="center" wrapText="1"/>
    </xf>
    <xf numFmtId="4" fontId="18" fillId="25" borderId="20" xfId="0" applyNumberFormat="1" applyFont="1" applyFill="1" applyBorder="1" applyAlignment="1">
      <alignment horizontal="center" vertical="center"/>
    </xf>
    <xf numFmtId="0" fontId="8" fillId="0" borderId="58" xfId="0" applyFont="1" applyBorder="1" applyAlignment="1">
      <alignment horizontal="center" vertical="center"/>
    </xf>
    <xf numFmtId="4" fontId="18" fillId="25" borderId="27" xfId="0" applyNumberFormat="1" applyFont="1" applyFill="1" applyBorder="1" applyAlignment="1">
      <alignment horizontal="center" vertical="center"/>
    </xf>
    <xf numFmtId="4" fontId="18" fillId="25" borderId="58" xfId="0" applyNumberFormat="1" applyFont="1" applyFill="1" applyBorder="1" applyAlignment="1">
      <alignment horizontal="center" vertical="center"/>
    </xf>
    <xf numFmtId="4" fontId="18" fillId="26" borderId="27" xfId="0" applyNumberFormat="1" applyFont="1" applyFill="1" applyBorder="1" applyAlignment="1">
      <alignment horizontal="center" vertical="center"/>
    </xf>
    <xf numFmtId="4" fontId="16" fillId="0" borderId="0" xfId="0" applyNumberFormat="1" applyFont="1" applyAlignment="1">
      <alignment horizontal="center" vertical="center"/>
    </xf>
    <xf numFmtId="4" fontId="18" fillId="25" borderId="0" xfId="0" applyNumberFormat="1" applyFont="1" applyFill="1" applyBorder="1" applyAlignment="1">
      <alignment horizontal="center" vertical="center"/>
    </xf>
    <xf numFmtId="0" fontId="18" fillId="0" borderId="27" xfId="0" applyFont="1" applyBorder="1" applyAlignment="1">
      <alignment horizontal="center" vertical="center" wrapText="1"/>
    </xf>
    <xf numFmtId="164" fontId="8" fillId="0" borderId="59" xfId="0" applyNumberFormat="1" applyFont="1" applyBorder="1" applyAlignment="1">
      <alignment horizontal="center" vertical="center"/>
    </xf>
    <xf numFmtId="2" fontId="8" fillId="0" borderId="59" xfId="0" applyNumberFormat="1" applyFont="1" applyBorder="1" applyAlignment="1">
      <alignment horizontal="center" vertical="center"/>
    </xf>
    <xf numFmtId="4" fontId="18" fillId="26" borderId="59" xfId="0" applyNumberFormat="1" applyFont="1" applyFill="1" applyBorder="1" applyAlignment="1">
      <alignment horizontal="center" vertical="center"/>
    </xf>
    <xf numFmtId="0" fontId="8" fillId="0" borderId="0" xfId="0" applyFont="1" applyAlignment="1">
      <alignment wrapText="1"/>
    </xf>
    <xf numFmtId="0" fontId="16" fillId="0" borderId="10" xfId="0" applyFont="1" applyBorder="1" applyAlignment="1">
      <alignment horizontal="center" vertical="center" wrapText="1"/>
    </xf>
    <xf numFmtId="164" fontId="18" fillId="6" borderId="22" xfId="0" applyNumberFormat="1" applyFont="1" applyFill="1" applyBorder="1" applyAlignment="1">
      <alignment horizontal="center" vertical="center"/>
    </xf>
    <xf numFmtId="0" fontId="8" fillId="4" borderId="27" xfId="0" applyFont="1" applyFill="1" applyBorder="1" applyAlignment="1">
      <alignment horizontal="center" vertical="center"/>
    </xf>
    <xf numFmtId="164" fontId="8" fillId="0" borderId="27" xfId="0" applyNumberFormat="1" applyFont="1" applyBorder="1" applyAlignment="1">
      <alignment horizontal="center" vertical="center"/>
    </xf>
    <xf numFmtId="2" fontId="8" fillId="0" borderId="27" xfId="0" applyNumberFormat="1" applyFont="1" applyBorder="1" applyAlignment="1">
      <alignment horizontal="center" vertical="center"/>
    </xf>
    <xf numFmtId="0" fontId="10" fillId="0" borderId="61" xfId="0" applyFont="1" applyBorder="1"/>
    <xf numFmtId="0" fontId="8" fillId="0" borderId="61" xfId="0" applyFont="1" applyBorder="1"/>
    <xf numFmtId="0" fontId="8" fillId="0" borderId="61" xfId="0" applyFont="1" applyBorder="1" applyAlignment="1">
      <alignment horizontal="center" vertical="center"/>
    </xf>
    <xf numFmtId="0" fontId="16" fillId="16" borderId="0" xfId="0" applyFont="1" applyFill="1" applyBorder="1"/>
    <xf numFmtId="0" fontId="16" fillId="16" borderId="0" xfId="0" applyFont="1" applyFill="1" applyBorder="1" applyAlignment="1">
      <alignment horizontal="center" vertical="center"/>
    </xf>
    <xf numFmtId="0" fontId="24" fillId="16" borderId="0" xfId="0" applyFont="1" applyFill="1" applyBorder="1" applyAlignment="1">
      <alignment vertical="center"/>
    </xf>
    <xf numFmtId="0" fontId="18" fillId="16" borderId="0" xfId="0" applyFont="1" applyFill="1" applyBorder="1" applyAlignment="1">
      <alignment horizontal="center" vertical="center"/>
    </xf>
    <xf numFmtId="0" fontId="18" fillId="3" borderId="10" xfId="0" applyFont="1" applyFill="1" applyBorder="1" applyAlignment="1">
      <alignment horizontal="center" vertical="center"/>
    </xf>
    <xf numFmtId="0" fontId="16" fillId="16" borderId="0" xfId="0" applyFont="1" applyFill="1" applyBorder="1" applyAlignment="1">
      <alignment horizontal="left" vertical="center"/>
    </xf>
    <xf numFmtId="0" fontId="16" fillId="2" borderId="0" xfId="0" applyFont="1" applyFill="1" applyBorder="1" applyAlignment="1">
      <alignment horizontal="left" vertical="center"/>
    </xf>
    <xf numFmtId="0" fontId="18" fillId="16" borderId="0" xfId="0" applyFont="1" applyFill="1" applyBorder="1" applyAlignment="1">
      <alignment horizontal="left" vertical="center"/>
    </xf>
    <xf numFmtId="166" fontId="16" fillId="16" borderId="0" xfId="0" applyNumberFormat="1" applyFont="1" applyFill="1" applyBorder="1" applyAlignment="1">
      <alignment horizontal="center" vertical="center"/>
    </xf>
    <xf numFmtId="0" fontId="28" fillId="0" borderId="50" xfId="0" applyFont="1" applyBorder="1"/>
    <xf numFmtId="0" fontId="29" fillId="16" borderId="17" xfId="0" applyFont="1" applyFill="1" applyBorder="1" applyAlignment="1">
      <alignment horizontal="center"/>
    </xf>
    <xf numFmtId="10" fontId="24" fillId="0" borderId="10" xfId="0" applyNumberFormat="1" applyFont="1" applyBorder="1" applyAlignment="1">
      <alignment horizontal="center" vertical="center" wrapText="1"/>
    </xf>
    <xf numFmtId="0" fontId="24" fillId="0" borderId="10" xfId="0" applyFont="1" applyBorder="1" applyAlignment="1">
      <alignment horizontal="left" vertical="center" wrapText="1"/>
    </xf>
    <xf numFmtId="10" fontId="24" fillId="0" borderId="10" xfId="0" applyNumberFormat="1" applyFont="1" applyBorder="1" applyAlignment="1">
      <alignment horizontal="left" vertical="center" wrapText="1"/>
    </xf>
    <xf numFmtId="0" fontId="16" fillId="3" borderId="10" xfId="0" applyFont="1" applyFill="1" applyBorder="1" applyAlignment="1">
      <alignment horizontal="center" vertical="center"/>
    </xf>
    <xf numFmtId="167" fontId="16" fillId="3" borderId="10" xfId="0" applyNumberFormat="1" applyFont="1" applyFill="1" applyBorder="1" applyAlignment="1">
      <alignment horizontal="center" vertical="center" wrapText="1"/>
    </xf>
    <xf numFmtId="10" fontId="24" fillId="0" borderId="53" xfId="0" applyNumberFormat="1" applyFont="1" applyBorder="1" applyAlignment="1">
      <alignment horizontal="left" vertical="center"/>
    </xf>
    <xf numFmtId="10" fontId="24" fillId="16" borderId="0" xfId="0" applyNumberFormat="1" applyFont="1" applyFill="1" applyBorder="1" applyAlignment="1">
      <alignment horizontal="left" vertical="center"/>
    </xf>
    <xf numFmtId="0" fontId="18" fillId="16" borderId="0" xfId="0" applyFont="1" applyFill="1" applyBorder="1" applyAlignment="1">
      <alignment vertical="center"/>
    </xf>
    <xf numFmtId="0" fontId="24" fillId="0" borderId="10" xfId="0" applyFont="1" applyBorder="1" applyAlignment="1">
      <alignment horizontal="center" vertical="center" wrapText="1"/>
    </xf>
    <xf numFmtId="0" fontId="31" fillId="0" borderId="10" xfId="0" applyFont="1" applyBorder="1" applyAlignment="1">
      <alignment horizontal="center" vertical="center" wrapText="1"/>
    </xf>
    <xf numFmtId="10" fontId="24" fillId="16" borderId="53" xfId="0" applyNumberFormat="1" applyFont="1" applyFill="1" applyBorder="1" applyAlignment="1">
      <alignment horizontal="left" vertical="center"/>
    </xf>
    <xf numFmtId="10" fontId="24" fillId="0" borderId="0" xfId="0" applyNumberFormat="1" applyFont="1" applyAlignment="1">
      <alignment horizontal="left" vertical="center"/>
    </xf>
    <xf numFmtId="0" fontId="28" fillId="16" borderId="50" xfId="0" applyFont="1" applyFill="1" applyBorder="1" applyAlignment="1">
      <alignment horizontal="center"/>
    </xf>
    <xf numFmtId="0" fontId="28" fillId="0" borderId="50" xfId="0" applyFont="1" applyBorder="1" applyAlignment="1">
      <alignment horizontal="left"/>
    </xf>
    <xf numFmtId="0" fontId="33" fillId="0" borderId="10" xfId="0" applyFont="1" applyBorder="1" applyAlignment="1">
      <alignment horizontal="center" vertical="center" wrapText="1"/>
    </xf>
    <xf numFmtId="10" fontId="24" fillId="16" borderId="10" xfId="0" applyNumberFormat="1" applyFont="1" applyFill="1" applyBorder="1" applyAlignment="1">
      <alignment horizontal="center" vertical="center" wrapText="1"/>
    </xf>
    <xf numFmtId="0" fontId="18" fillId="16" borderId="0" xfId="0" applyFont="1" applyFill="1" applyBorder="1" applyAlignment="1">
      <alignment horizontal="left"/>
    </xf>
    <xf numFmtId="0" fontId="24" fillId="16" borderId="10" xfId="0" applyFont="1" applyFill="1" applyBorder="1" applyAlignment="1">
      <alignment horizontal="center" vertical="center" wrapText="1"/>
    </xf>
    <xf numFmtId="4" fontId="18" fillId="5" borderId="52" xfId="0" applyNumberFormat="1" applyFont="1" applyFill="1" applyBorder="1" applyAlignment="1">
      <alignment horizontal="center" vertical="center" wrapText="1"/>
    </xf>
    <xf numFmtId="0" fontId="31" fillId="16" borderId="0" xfId="0" applyFont="1" applyFill="1" applyBorder="1" applyAlignment="1">
      <alignment horizontal="center" vertical="center"/>
    </xf>
    <xf numFmtId="166" fontId="18" fillId="16" borderId="46" xfId="0" applyNumberFormat="1" applyFont="1" applyFill="1" applyBorder="1" applyAlignment="1">
      <alignment horizontal="center" vertical="center"/>
    </xf>
    <xf numFmtId="0" fontId="16" fillId="2" borderId="0" xfId="0" applyFont="1" applyFill="1" applyBorder="1" applyAlignment="1">
      <alignment horizontal="center" wrapText="1"/>
    </xf>
    <xf numFmtId="0" fontId="16" fillId="2" borderId="11" xfId="0" applyFont="1" applyFill="1" applyBorder="1" applyAlignment="1">
      <alignment horizontal="center" vertical="center" wrapText="1"/>
    </xf>
    <xf numFmtId="0" fontId="16" fillId="3" borderId="11" xfId="0" applyNumberFormat="1" applyFont="1" applyFill="1" applyBorder="1" applyAlignment="1">
      <alignment horizontal="center" vertical="center" wrapText="1"/>
    </xf>
    <xf numFmtId="14" fontId="16" fillId="3" borderId="10" xfId="0" applyNumberFormat="1" applyFont="1" applyFill="1" applyBorder="1" applyAlignment="1">
      <alignment horizontal="center" vertical="center" wrapText="1"/>
    </xf>
    <xf numFmtId="0" fontId="18" fillId="2" borderId="0" xfId="0" applyFont="1" applyFill="1" applyBorder="1" applyAlignment="1">
      <alignment wrapText="1"/>
    </xf>
    <xf numFmtId="0" fontId="14" fillId="0" borderId="10" xfId="0" applyFont="1" applyBorder="1" applyAlignment="1">
      <alignment horizontal="center" vertical="center"/>
    </xf>
    <xf numFmtId="0" fontId="14" fillId="0" borderId="25" xfId="0" applyFont="1" applyBorder="1" applyAlignment="1">
      <alignment horizontal="center" vertical="center"/>
    </xf>
    <xf numFmtId="44" fontId="39" fillId="6" borderId="21" xfId="0" applyNumberFormat="1" applyFont="1" applyFill="1" applyBorder="1" applyAlignment="1">
      <alignment horizontal="center" vertical="center" wrapText="1"/>
    </xf>
    <xf numFmtId="44" fontId="21" fillId="6" borderId="21" xfId="0" applyNumberFormat="1" applyFont="1" applyFill="1" applyBorder="1" applyAlignment="1">
      <alignment horizontal="center" vertical="center" wrapText="1"/>
    </xf>
    <xf numFmtId="10" fontId="21" fillId="2" borderId="10" xfId="0" applyNumberFormat="1" applyFont="1" applyFill="1" applyBorder="1" applyAlignment="1">
      <alignment horizontal="center" vertical="center" wrapText="1"/>
    </xf>
    <xf numFmtId="164" fontId="39" fillId="3" borderId="10" xfId="0" applyNumberFormat="1" applyFont="1" applyFill="1" applyBorder="1" applyAlignment="1">
      <alignment horizontal="center" vertical="center" wrapText="1"/>
    </xf>
    <xf numFmtId="10" fontId="39" fillId="3" borderId="10" xfId="0" applyNumberFormat="1" applyFont="1" applyFill="1" applyBorder="1" applyAlignment="1">
      <alignment horizontal="center" vertical="center" wrapText="1"/>
    </xf>
    <xf numFmtId="10" fontId="21" fillId="0" borderId="10" xfId="0" applyNumberFormat="1" applyFont="1" applyBorder="1" applyAlignment="1">
      <alignment horizontal="center" vertical="center"/>
    </xf>
    <xf numFmtId="0" fontId="40" fillId="2" borderId="26" xfId="0" applyFont="1" applyFill="1" applyBorder="1"/>
    <xf numFmtId="44" fontId="40" fillId="2" borderId="26" xfId="0" applyNumberFormat="1" applyFont="1" applyFill="1" applyBorder="1" applyAlignment="1">
      <alignment horizontal="center"/>
    </xf>
    <xf numFmtId="44" fontId="40" fillId="2" borderId="26" xfId="0" applyNumberFormat="1" applyFont="1" applyFill="1" applyBorder="1"/>
    <xf numFmtId="0" fontId="21" fillId="0" borderId="11" xfId="0" applyFont="1" applyBorder="1" applyAlignment="1">
      <alignment horizontal="center" vertical="center"/>
    </xf>
    <xf numFmtId="0" fontId="21" fillId="0" borderId="11" xfId="0" applyFont="1" applyBorder="1" applyAlignment="1">
      <alignment horizontal="left" vertical="center" wrapText="1"/>
    </xf>
    <xf numFmtId="0" fontId="21" fillId="0" borderId="11" xfId="0" applyFont="1" applyBorder="1" applyAlignment="1">
      <alignment horizontal="center" vertical="center" wrapText="1"/>
    </xf>
    <xf numFmtId="4" fontId="21" fillId="0" borderId="11" xfId="0" applyNumberFormat="1" applyFont="1" applyFill="1" applyBorder="1" applyAlignment="1">
      <alignment horizontal="center" vertical="center"/>
    </xf>
    <xf numFmtId="4" fontId="21" fillId="0" borderId="11" xfId="0" applyNumberFormat="1" applyFont="1" applyBorder="1" applyAlignment="1">
      <alignment horizontal="center" vertical="center"/>
    </xf>
    <xf numFmtId="4" fontId="21" fillId="2" borderId="11" xfId="0" applyNumberFormat="1" applyFont="1" applyFill="1" applyBorder="1" applyAlignment="1">
      <alignment horizontal="center" vertical="center"/>
    </xf>
    <xf numFmtId="0" fontId="16" fillId="2" borderId="10" xfId="0" applyFont="1" applyFill="1" applyBorder="1" applyAlignment="1">
      <alignment horizontal="center" vertical="center"/>
    </xf>
    <xf numFmtId="0" fontId="21" fillId="2" borderId="10" xfId="0" applyFont="1" applyFill="1" applyBorder="1" applyAlignment="1">
      <alignment horizontal="left" vertical="center" wrapText="1"/>
    </xf>
    <xf numFmtId="4" fontId="21" fillId="0" borderId="10" xfId="0" applyNumberFormat="1" applyFont="1" applyFill="1" applyBorder="1" applyAlignment="1">
      <alignment horizontal="center" vertical="center"/>
    </xf>
    <xf numFmtId="4" fontId="21" fillId="0" borderId="10" xfId="0" applyNumberFormat="1" applyFont="1" applyBorder="1" applyAlignment="1">
      <alignment horizontal="center" vertical="center"/>
    </xf>
    <xf numFmtId="4" fontId="21" fillId="2" borderId="10" xfId="0" applyNumberFormat="1" applyFont="1" applyFill="1" applyBorder="1" applyAlignment="1">
      <alignment horizontal="center" vertical="center"/>
    </xf>
    <xf numFmtId="0" fontId="16" fillId="0" borderId="0" xfId="0" applyFont="1" applyBorder="1" applyAlignment="1">
      <alignment horizontal="left" vertical="center" wrapText="1"/>
    </xf>
    <xf numFmtId="0" fontId="16" fillId="0" borderId="0" xfId="0" applyFont="1" applyBorder="1" applyAlignment="1">
      <alignment horizontal="center" vertical="center" wrapText="1"/>
    </xf>
    <xf numFmtId="164" fontId="15" fillId="0" borderId="0" xfId="0" applyNumberFormat="1" applyFont="1" applyFill="1" applyBorder="1" applyAlignment="1">
      <alignment horizontal="center" vertical="center"/>
    </xf>
    <xf numFmtId="164" fontId="21" fillId="0" borderId="0" xfId="0" applyNumberFormat="1" applyFont="1" applyBorder="1" applyAlignment="1">
      <alignment horizontal="center" vertical="center"/>
    </xf>
    <xf numFmtId="164" fontId="21" fillId="2" borderId="0" xfId="0" applyNumberFormat="1" applyFont="1" applyFill="1" applyBorder="1" applyAlignment="1">
      <alignment horizontal="center" vertical="center"/>
    </xf>
    <xf numFmtId="164" fontId="21" fillId="0" borderId="14" xfId="0" applyNumberFormat="1" applyFont="1" applyBorder="1" applyAlignment="1">
      <alignment horizontal="center" vertical="center" wrapText="1"/>
    </xf>
    <xf numFmtId="0" fontId="21" fillId="2" borderId="0" xfId="0" applyFont="1" applyFill="1" applyBorder="1" applyAlignment="1">
      <alignment horizontal="center" vertical="center"/>
    </xf>
    <xf numFmtId="0" fontId="21" fillId="2" borderId="0" xfId="0" applyFont="1" applyFill="1" applyBorder="1" applyAlignment="1">
      <alignment horizontal="left" vertical="center" wrapText="1"/>
    </xf>
    <xf numFmtId="165" fontId="15" fillId="2" borderId="0" xfId="0" applyNumberFormat="1" applyFont="1" applyFill="1" applyBorder="1" applyAlignment="1">
      <alignment horizontal="center" vertical="center"/>
    </xf>
    <xf numFmtId="4" fontId="15" fillId="2" borderId="0" xfId="0" applyNumberFormat="1" applyFont="1" applyFill="1" applyBorder="1" applyAlignment="1">
      <alignment horizontal="center" vertical="center"/>
    </xf>
    <xf numFmtId="4" fontId="21" fillId="2" borderId="0" xfId="0" applyNumberFormat="1" applyFont="1" applyFill="1" applyBorder="1" applyAlignment="1">
      <alignment horizontal="center" vertical="center"/>
    </xf>
    <xf numFmtId="2" fontId="21" fillId="2" borderId="0" xfId="0" applyNumberFormat="1" applyFont="1" applyFill="1" applyBorder="1" applyAlignment="1">
      <alignment horizontal="center" vertical="center"/>
    </xf>
    <xf numFmtId="4" fontId="18" fillId="2" borderId="0" xfId="0" applyNumberFormat="1" applyFont="1" applyFill="1" applyBorder="1" applyAlignment="1">
      <alignment horizontal="right" vertical="center"/>
    </xf>
    <xf numFmtId="0" fontId="42" fillId="2" borderId="94" xfId="0" applyFont="1" applyFill="1" applyBorder="1"/>
    <xf numFmtId="0" fontId="15" fillId="2" borderId="94" xfId="0" applyFont="1" applyFill="1" applyBorder="1" applyAlignment="1">
      <alignment wrapText="1"/>
    </xf>
    <xf numFmtId="4" fontId="15" fillId="2" borderId="94" xfId="0" applyNumberFormat="1" applyFont="1" applyFill="1" applyBorder="1"/>
    <xf numFmtId="2" fontId="15" fillId="2" borderId="94" xfId="0" applyNumberFormat="1" applyFont="1" applyFill="1" applyBorder="1"/>
    <xf numFmtId="0" fontId="15" fillId="2" borderId="0" xfId="0" applyFont="1" applyFill="1" applyBorder="1"/>
    <xf numFmtId="0" fontId="15" fillId="2" borderId="0" xfId="0" applyFont="1" applyFill="1" applyBorder="1" applyAlignment="1">
      <alignment wrapText="1"/>
    </xf>
    <xf numFmtId="4" fontId="15" fillId="2" borderId="0" xfId="0" applyNumberFormat="1" applyFont="1" applyFill="1" applyBorder="1"/>
    <xf numFmtId="2" fontId="15" fillId="2" borderId="0" xfId="0" applyNumberFormat="1" applyFont="1" applyFill="1" applyBorder="1"/>
    <xf numFmtId="0" fontId="26" fillId="5" borderId="29" xfId="0" applyFont="1" applyFill="1" applyBorder="1" applyAlignment="1">
      <alignment horizontal="center" vertical="center" wrapText="1"/>
    </xf>
    <xf numFmtId="0" fontId="21" fillId="2" borderId="11" xfId="0" applyFont="1" applyFill="1" applyBorder="1" applyAlignment="1">
      <alignment horizontal="left" vertical="center" wrapText="1"/>
    </xf>
    <xf numFmtId="0" fontId="16" fillId="0" borderId="11" xfId="0" applyFont="1" applyBorder="1" applyAlignment="1">
      <alignment horizontal="center" vertical="center" wrapText="1"/>
    </xf>
    <xf numFmtId="0" fontId="16" fillId="0" borderId="16" xfId="0" applyFont="1" applyBorder="1" applyAlignment="1">
      <alignment horizontal="center" vertical="center" wrapText="1"/>
    </xf>
    <xf numFmtId="14" fontId="16" fillId="0" borderId="7" xfId="0" applyNumberFormat="1" applyFont="1" applyBorder="1" applyAlignment="1">
      <alignment horizontal="center" vertical="center" wrapText="1"/>
    </xf>
    <xf numFmtId="3" fontId="16" fillId="2" borderId="34" xfId="0" applyNumberFormat="1" applyFont="1" applyFill="1" applyBorder="1" applyAlignment="1">
      <alignment horizontal="center" vertical="center"/>
    </xf>
    <xf numFmtId="0" fontId="8" fillId="0" borderId="34" xfId="0" applyFont="1" applyBorder="1" applyAlignment="1">
      <alignment horizontal="center" vertical="center"/>
    </xf>
    <xf numFmtId="4" fontId="15" fillId="2" borderId="0" xfId="0" applyNumberFormat="1" applyFont="1" applyFill="1" applyBorder="1" applyAlignment="1">
      <alignment vertical="center"/>
    </xf>
    <xf numFmtId="0" fontId="21" fillId="2" borderId="10" xfId="0" applyFont="1" applyFill="1" applyBorder="1" applyAlignment="1">
      <alignment horizontal="center" vertical="center"/>
    </xf>
    <xf numFmtId="14" fontId="16" fillId="0" borderId="35" xfId="0" applyNumberFormat="1" applyFont="1" applyBorder="1" applyAlignment="1">
      <alignment horizontal="center" vertical="center" wrapText="1"/>
    </xf>
    <xf numFmtId="3" fontId="16" fillId="2" borderId="27" xfId="0" applyNumberFormat="1" applyFont="1" applyFill="1" applyBorder="1" applyAlignment="1">
      <alignment horizontal="center" vertical="center"/>
    </xf>
    <xf numFmtId="0" fontId="16" fillId="12" borderId="14" xfId="0" applyFont="1" applyFill="1" applyBorder="1" applyAlignment="1">
      <alignment horizontal="center" vertical="center"/>
    </xf>
    <xf numFmtId="0" fontId="21" fillId="12" borderId="14" xfId="0" applyFont="1" applyFill="1" applyBorder="1" applyAlignment="1">
      <alignment horizontal="left" vertical="center" wrapText="1"/>
    </xf>
    <xf numFmtId="0" fontId="16" fillId="12" borderId="14" xfId="0" applyFont="1" applyFill="1" applyBorder="1" applyAlignment="1">
      <alignment horizontal="center" vertical="center" wrapText="1"/>
    </xf>
    <xf numFmtId="44" fontId="16" fillId="12" borderId="14" xfId="0" applyNumberFormat="1" applyFont="1" applyFill="1" applyBorder="1" applyAlignment="1">
      <alignment horizontal="center" vertical="center"/>
    </xf>
    <xf numFmtId="14" fontId="16" fillId="12" borderId="0" xfId="0" applyNumberFormat="1" applyFont="1" applyFill="1" applyBorder="1" applyAlignment="1">
      <alignment horizontal="center" vertical="center" wrapText="1"/>
    </xf>
    <xf numFmtId="3" fontId="16" fillId="2" borderId="0" xfId="0" applyNumberFormat="1" applyFont="1" applyFill="1" applyBorder="1" applyAlignment="1">
      <alignment horizontal="center" vertical="center"/>
    </xf>
    <xf numFmtId="0" fontId="8" fillId="12" borderId="0" xfId="0" applyFont="1" applyFill="1" applyBorder="1" applyAlignment="1">
      <alignment horizontal="center" vertical="center"/>
    </xf>
    <xf numFmtId="3" fontId="16" fillId="2" borderId="0" xfId="0" applyNumberFormat="1" applyFont="1" applyFill="1" applyBorder="1" applyAlignment="1">
      <alignment horizontal="right" vertical="center"/>
    </xf>
    <xf numFmtId="0" fontId="16" fillId="12" borderId="0" xfId="0" applyFont="1" applyFill="1" applyBorder="1" applyAlignment="1">
      <alignment horizontal="center" vertical="center"/>
    </xf>
    <xf numFmtId="0" fontId="21" fillId="12" borderId="0" xfId="0" applyFont="1" applyFill="1" applyBorder="1" applyAlignment="1">
      <alignment horizontal="left" vertical="center" wrapText="1"/>
    </xf>
    <xf numFmtId="0" fontId="16" fillId="12" borderId="0" xfId="0" applyFont="1" applyFill="1" applyBorder="1" applyAlignment="1">
      <alignment horizontal="center" vertical="center" wrapText="1"/>
    </xf>
    <xf numFmtId="44" fontId="16" fillId="12" borderId="0" xfId="0" applyNumberFormat="1" applyFont="1" applyFill="1" applyBorder="1" applyAlignment="1">
      <alignment horizontal="center" vertical="center"/>
    </xf>
    <xf numFmtId="4" fontId="45" fillId="0" borderId="0" xfId="0" applyNumberFormat="1" applyFont="1" applyFill="1" applyBorder="1"/>
    <xf numFmtId="3" fontId="9" fillId="0" borderId="0" xfId="0" applyNumberFormat="1" applyFont="1" applyFill="1" applyBorder="1" applyAlignment="1">
      <alignment horizontal="center" vertical="center"/>
    </xf>
    <xf numFmtId="44" fontId="46" fillId="0" borderId="0" xfId="3" applyNumberFormat="1" applyFont="1" applyFill="1" applyBorder="1" applyAlignment="1" applyProtection="1">
      <alignment vertical="center" wrapText="1"/>
    </xf>
    <xf numFmtId="4" fontId="45" fillId="0" borderId="0" xfId="0" applyNumberFormat="1" applyFont="1" applyFill="1" applyBorder="1" applyAlignment="1">
      <alignment vertical="center"/>
    </xf>
    <xf numFmtId="44" fontId="13" fillId="10" borderId="0" xfId="3" applyNumberFormat="1" applyFont="1" applyFill="1" applyBorder="1" applyAlignment="1" applyProtection="1">
      <alignment horizontal="center" vertical="center" wrapText="1"/>
    </xf>
    <xf numFmtId="164" fontId="26" fillId="9" borderId="0" xfId="0" applyNumberFormat="1" applyFont="1" applyFill="1" applyBorder="1" applyAlignment="1">
      <alignment horizontal="center" vertical="center" wrapText="1"/>
    </xf>
    <xf numFmtId="44" fontId="18" fillId="13" borderId="0" xfId="0" applyNumberFormat="1" applyFont="1" applyFill="1" applyBorder="1" applyAlignment="1">
      <alignment horizontal="center" vertical="center"/>
    </xf>
    <xf numFmtId="0" fontId="42" fillId="2" borderId="45" xfId="0" applyFont="1" applyFill="1" applyBorder="1"/>
    <xf numFmtId="0" fontId="47" fillId="2" borderId="45" xfId="0" applyFont="1" applyFill="1" applyBorder="1"/>
    <xf numFmtId="4" fontId="48" fillId="2" borderId="45" xfId="0" applyNumberFormat="1" applyFont="1" applyFill="1" applyBorder="1"/>
    <xf numFmtId="0" fontId="47" fillId="2" borderId="0" xfId="0" applyFont="1" applyFill="1" applyBorder="1"/>
    <xf numFmtId="4" fontId="48" fillId="2" borderId="0" xfId="0" applyNumberFormat="1" applyFont="1" applyFill="1" applyBorder="1"/>
    <xf numFmtId="0" fontId="8" fillId="15" borderId="0" xfId="0" applyFont="1" applyFill="1" applyAlignment="1" applyProtection="1">
      <alignment vertical="center"/>
    </xf>
    <xf numFmtId="0" fontId="8" fillId="2" borderId="0" xfId="0" applyFont="1" applyFill="1" applyBorder="1" applyAlignment="1">
      <alignment vertical="center"/>
    </xf>
    <xf numFmtId="0" fontId="14" fillId="15" borderId="0" xfId="0" applyFont="1" applyFill="1" applyAlignment="1" applyProtection="1">
      <alignment vertical="center"/>
    </xf>
    <xf numFmtId="0" fontId="8" fillId="2" borderId="0" xfId="0" applyFont="1" applyFill="1" applyBorder="1"/>
    <xf numFmtId="0" fontId="43" fillId="2" borderId="26" xfId="0" applyFont="1" applyFill="1" applyBorder="1"/>
    <xf numFmtId="0" fontId="0" fillId="0" borderId="0" xfId="0" applyFont="1" applyProtection="1"/>
    <xf numFmtId="0" fontId="18" fillId="2" borderId="0" xfId="0" applyFont="1" applyFill="1" applyBorder="1" applyAlignment="1" applyProtection="1">
      <alignment horizontal="center"/>
    </xf>
    <xf numFmtId="0" fontId="18" fillId="2" borderId="0" xfId="0" applyFont="1" applyFill="1" applyBorder="1" applyAlignment="1" applyProtection="1">
      <alignment horizontal="center" vertical="center" wrapText="1"/>
    </xf>
    <xf numFmtId="0" fontId="16" fillId="0" borderId="0" xfId="0" applyFont="1" applyProtection="1"/>
    <xf numFmtId="0" fontId="16" fillId="0" borderId="0" xfId="0" applyFont="1" applyAlignment="1" applyProtection="1">
      <alignment vertical="center" wrapText="1"/>
    </xf>
    <xf numFmtId="0" fontId="18" fillId="5" borderId="10" xfId="0" applyFont="1" applyFill="1" applyBorder="1" applyAlignment="1" applyProtection="1">
      <alignment horizontal="center" vertical="center"/>
    </xf>
    <xf numFmtId="0" fontId="18" fillId="5" borderId="10" xfId="0" applyFont="1" applyFill="1" applyBorder="1" applyAlignment="1" applyProtection="1">
      <alignment horizontal="center" vertical="center" wrapText="1"/>
    </xf>
    <xf numFmtId="0" fontId="18" fillId="5" borderId="22" xfId="0" applyFont="1" applyFill="1" applyBorder="1" applyAlignment="1" applyProtection="1">
      <alignment horizontal="center" vertical="center" wrapText="1"/>
    </xf>
    <xf numFmtId="0" fontId="16" fillId="0" borderId="10" xfId="0" applyFont="1" applyBorder="1" applyAlignment="1" applyProtection="1">
      <alignment horizontal="center" vertical="center"/>
    </xf>
    <xf numFmtId="4" fontId="16" fillId="0" borderId="10" xfId="0" applyNumberFormat="1" applyFont="1" applyBorder="1" applyAlignment="1" applyProtection="1">
      <alignment horizontal="left" vertical="center" wrapText="1"/>
    </xf>
    <xf numFmtId="0" fontId="18" fillId="0" borderId="10" xfId="0" applyFont="1" applyBorder="1" applyAlignment="1" applyProtection="1">
      <alignment horizontal="center" vertical="center"/>
    </xf>
    <xf numFmtId="0" fontId="16" fillId="11" borderId="10" xfId="0" applyFont="1" applyFill="1" applyBorder="1" applyAlignment="1" applyProtection="1">
      <alignment horizontal="center" vertical="center"/>
    </xf>
    <xf numFmtId="4" fontId="16" fillId="11" borderId="10" xfId="0" applyNumberFormat="1" applyFont="1" applyFill="1" applyBorder="1" applyAlignment="1" applyProtection="1">
      <alignment horizontal="left" vertical="center" wrapText="1"/>
    </xf>
    <xf numFmtId="10" fontId="16" fillId="2" borderId="11" xfId="0" applyNumberFormat="1" applyFont="1" applyFill="1" applyBorder="1" applyAlignment="1" applyProtection="1">
      <alignment horizontal="center" vertical="center" wrapText="1"/>
    </xf>
    <xf numFmtId="164" fontId="16" fillId="0" borderId="10" xfId="0" applyNumberFormat="1" applyFont="1" applyBorder="1" applyAlignment="1" applyProtection="1">
      <alignment horizontal="center" vertical="center"/>
    </xf>
    <xf numFmtId="4" fontId="16" fillId="0" borderId="10" xfId="0" applyNumberFormat="1" applyFont="1" applyBorder="1" applyAlignment="1" applyProtection="1">
      <alignment horizontal="center" vertical="center"/>
    </xf>
    <xf numFmtId="164" fontId="18" fillId="0" borderId="10" xfId="0" applyNumberFormat="1" applyFont="1" applyBorder="1" applyAlignment="1" applyProtection="1">
      <alignment horizontal="center" vertical="center"/>
    </xf>
    <xf numFmtId="164" fontId="16" fillId="11" borderId="10" xfId="0" applyNumberFormat="1" applyFont="1" applyFill="1" applyBorder="1" applyAlignment="1" applyProtection="1">
      <alignment horizontal="center" vertical="center"/>
    </xf>
    <xf numFmtId="4" fontId="16" fillId="11" borderId="10" xfId="0" applyNumberFormat="1" applyFont="1" applyFill="1" applyBorder="1" applyAlignment="1" applyProtection="1">
      <alignment horizontal="center" vertical="center"/>
    </xf>
    <xf numFmtId="164" fontId="18" fillId="11" borderId="10" xfId="0" applyNumberFormat="1" applyFont="1" applyFill="1" applyBorder="1" applyAlignment="1" applyProtection="1">
      <alignment horizontal="center" vertical="center"/>
    </xf>
    <xf numFmtId="0" fontId="18" fillId="54" borderId="10" xfId="0" applyFont="1" applyFill="1" applyBorder="1" applyAlignment="1" applyProtection="1">
      <alignment horizontal="center" vertical="center" wrapText="1"/>
    </xf>
    <xf numFmtId="10" fontId="16" fillId="2" borderId="10" xfId="0" applyNumberFormat="1" applyFont="1" applyFill="1" applyBorder="1" applyAlignment="1" applyProtection="1">
      <alignment horizontal="center" vertical="center" wrapText="1"/>
    </xf>
    <xf numFmtId="0" fontId="16" fillId="16" borderId="0" xfId="0" applyFont="1" applyFill="1" applyBorder="1" applyAlignment="1" applyProtection="1">
      <alignment horizontal="left" vertical="center" wrapText="1"/>
    </xf>
    <xf numFmtId="0" fontId="18" fillId="55" borderId="10" xfId="0" applyFont="1" applyFill="1" applyBorder="1" applyAlignment="1" applyProtection="1">
      <alignment horizontal="center" vertical="center" wrapText="1"/>
    </xf>
    <xf numFmtId="164" fontId="14" fillId="13" borderId="10" xfId="0" applyNumberFormat="1" applyFont="1" applyFill="1" applyBorder="1" applyAlignment="1" applyProtection="1">
      <alignment horizontal="center" vertical="center" wrapText="1"/>
    </xf>
    <xf numFmtId="164" fontId="16" fillId="16" borderId="10" xfId="0" applyNumberFormat="1" applyFont="1" applyFill="1" applyBorder="1" applyAlignment="1" applyProtection="1">
      <alignment horizontal="center" vertical="center" wrapText="1"/>
    </xf>
    <xf numFmtId="164" fontId="18" fillId="16" borderId="10" xfId="0" applyNumberFormat="1" applyFont="1" applyFill="1" applyBorder="1" applyAlignment="1" applyProtection="1">
      <alignment horizontal="center" vertical="center" wrapText="1"/>
    </xf>
    <xf numFmtId="164" fontId="14" fillId="50" borderId="10" xfId="0" applyNumberFormat="1" applyFont="1" applyFill="1" applyBorder="1" applyAlignment="1" applyProtection="1">
      <alignment horizontal="center" vertical="center" wrapText="1"/>
    </xf>
    <xf numFmtId="164" fontId="16" fillId="11" borderId="10" xfId="0" applyNumberFormat="1" applyFont="1" applyFill="1" applyBorder="1" applyAlignment="1" applyProtection="1">
      <alignment horizontal="center" vertical="center" wrapText="1"/>
    </xf>
    <xf numFmtId="164" fontId="18" fillId="11" borderId="10" xfId="0" applyNumberFormat="1" applyFont="1" applyFill="1" applyBorder="1" applyAlignment="1" applyProtection="1">
      <alignment horizontal="center" vertical="center" wrapText="1"/>
    </xf>
    <xf numFmtId="0" fontId="11" fillId="10" borderId="0" xfId="3" applyFont="1" applyFill="1" applyBorder="1" applyAlignment="1" applyProtection="1">
      <alignment horizontal="left"/>
    </xf>
    <xf numFmtId="0" fontId="14" fillId="0" borderId="0" xfId="0" applyFont="1" applyAlignment="1" applyProtection="1">
      <alignment vertical="center"/>
    </xf>
    <xf numFmtId="4" fontId="14" fillId="56" borderId="0" xfId="0" applyNumberFormat="1" applyFont="1" applyFill="1" applyBorder="1" applyAlignment="1" applyProtection="1">
      <alignment horizontal="center" vertical="center"/>
    </xf>
    <xf numFmtId="0" fontId="58" fillId="10" borderId="0" xfId="0" applyFont="1" applyFill="1" applyAlignment="1" applyProtection="1">
      <alignment horizontal="left" vertical="center"/>
    </xf>
    <xf numFmtId="0" fontId="13" fillId="0" borderId="0" xfId="0" applyFont="1" applyBorder="1" applyAlignment="1" applyProtection="1">
      <alignment horizontal="left" vertical="center" wrapText="1"/>
    </xf>
    <xf numFmtId="4" fontId="13" fillId="14" borderId="27" xfId="3" applyNumberFormat="1" applyFont="1" applyFill="1" applyBorder="1" applyAlignment="1" applyProtection="1">
      <alignment horizontal="center" vertical="center" wrapText="1"/>
    </xf>
    <xf numFmtId="0" fontId="14" fillId="10" borderId="0" xfId="3" applyFont="1" applyFill="1" applyAlignment="1" applyProtection="1">
      <alignment vertical="center"/>
    </xf>
    <xf numFmtId="0" fontId="14" fillId="10" borderId="0" xfId="3" applyFont="1" applyFill="1" applyAlignment="1" applyProtection="1">
      <alignment vertical="center" wrapText="1"/>
    </xf>
    <xf numFmtId="0" fontId="0" fillId="0" borderId="0" xfId="0" applyFont="1"/>
    <xf numFmtId="0" fontId="18" fillId="2" borderId="0" xfId="0" applyFont="1" applyFill="1" applyBorder="1" applyAlignment="1" applyProtection="1">
      <alignment vertical="center"/>
    </xf>
    <xf numFmtId="0" fontId="18" fillId="2" borderId="0" xfId="0" applyFont="1" applyFill="1" applyBorder="1" applyAlignment="1" applyProtection="1">
      <alignment horizontal="center" vertical="center"/>
    </xf>
    <xf numFmtId="0" fontId="18" fillId="9" borderId="0" xfId="0" applyFont="1" applyFill="1" applyBorder="1" applyAlignment="1" applyProtection="1">
      <alignment horizontal="center" vertical="center" wrapText="1"/>
    </xf>
    <xf numFmtId="0" fontId="14" fillId="0" borderId="0" xfId="0" applyFont="1" applyBorder="1" applyProtection="1"/>
    <xf numFmtId="0" fontId="26" fillId="2" borderId="77" xfId="0" applyFont="1" applyFill="1" applyBorder="1" applyAlignment="1" applyProtection="1">
      <alignment vertical="center"/>
    </xf>
    <xf numFmtId="0" fontId="26" fillId="2" borderId="77" xfId="0" applyFont="1" applyFill="1" applyBorder="1" applyAlignment="1" applyProtection="1">
      <alignment horizontal="center" vertical="center"/>
    </xf>
    <xf numFmtId="0" fontId="15" fillId="34" borderId="19" xfId="0" applyFont="1" applyFill="1" applyBorder="1" applyAlignment="1" applyProtection="1">
      <alignment horizontal="center" vertical="center" wrapText="1"/>
    </xf>
    <xf numFmtId="0" fontId="15" fillId="35" borderId="19" xfId="0" applyFont="1" applyFill="1" applyBorder="1" applyAlignment="1" applyProtection="1">
      <alignment horizontal="center" vertical="center" wrapText="1"/>
    </xf>
    <xf numFmtId="0" fontId="15" fillId="35" borderId="10" xfId="0" applyFont="1" applyFill="1" applyBorder="1" applyAlignment="1" applyProtection="1">
      <alignment horizontal="center" vertical="center" wrapText="1"/>
    </xf>
    <xf numFmtId="0" fontId="15" fillId="35" borderId="78" xfId="0" applyFont="1" applyFill="1" applyBorder="1" applyAlignment="1" applyProtection="1">
      <alignment horizontal="center" vertical="center" wrapText="1"/>
    </xf>
    <xf numFmtId="0" fontId="15" fillId="0" borderId="10" xfId="0" quotePrefix="1" applyFont="1" applyBorder="1" applyAlignment="1" applyProtection="1">
      <alignment horizontal="center" vertical="center" wrapText="1"/>
    </xf>
    <xf numFmtId="0" fontId="21" fillId="0" borderId="10" xfId="0" applyFont="1" applyFill="1" applyBorder="1" applyAlignment="1" applyProtection="1">
      <alignment horizontal="left" vertical="center" wrapText="1"/>
    </xf>
    <xf numFmtId="0" fontId="21" fillId="0" borderId="10" xfId="0" applyFont="1" applyBorder="1" applyAlignment="1" applyProtection="1">
      <alignment horizontal="center" vertical="center" wrapText="1"/>
    </xf>
    <xf numFmtId="0" fontId="21" fillId="38" borderId="10" xfId="0" applyFont="1" applyFill="1" applyBorder="1" applyAlignment="1" applyProtection="1">
      <alignment horizontal="center" vertical="center" wrapText="1"/>
    </xf>
    <xf numFmtId="44" fontId="21" fillId="2" borderId="10" xfId="0" applyNumberFormat="1" applyFont="1" applyFill="1" applyBorder="1" applyAlignment="1" applyProtection="1">
      <alignment horizontal="center" vertical="center"/>
    </xf>
    <xf numFmtId="4" fontId="21" fillId="42" borderId="11" xfId="0" applyNumberFormat="1" applyFont="1" applyFill="1" applyBorder="1" applyAlignment="1" applyProtection="1">
      <alignment horizontal="center" vertical="center"/>
    </xf>
    <xf numFmtId="0" fontId="15" fillId="11" borderId="10" xfId="0" applyFont="1" applyFill="1" applyBorder="1" applyAlignment="1" applyProtection="1">
      <alignment horizontal="center" vertical="center" wrapText="1"/>
    </xf>
    <xf numFmtId="0" fontId="21" fillId="8" borderId="10" xfId="0" applyFont="1" applyFill="1" applyBorder="1" applyAlignment="1" applyProtection="1">
      <alignment horizontal="left" vertical="center" wrapText="1"/>
    </xf>
    <xf numFmtId="0" fontId="21" fillId="11" borderId="10" xfId="0" applyFont="1" applyFill="1" applyBorder="1" applyAlignment="1" applyProtection="1">
      <alignment horizontal="center" vertical="center" wrapText="1"/>
    </xf>
    <xf numFmtId="0" fontId="21" fillId="45" borderId="10" xfId="0" applyFont="1" applyFill="1" applyBorder="1" applyAlignment="1" applyProtection="1">
      <alignment horizontal="center" vertical="center" wrapText="1"/>
    </xf>
    <xf numFmtId="44" fontId="21" fillId="11" borderId="10" xfId="0" applyNumberFormat="1" applyFont="1" applyFill="1" applyBorder="1" applyAlignment="1" applyProtection="1">
      <alignment horizontal="center" vertical="center"/>
    </xf>
    <xf numFmtId="4" fontId="21" fillId="49" borderId="11" xfId="0" applyNumberFormat="1" applyFont="1" applyFill="1" applyBorder="1" applyAlignment="1" applyProtection="1">
      <alignment horizontal="center" vertical="center"/>
    </xf>
    <xf numFmtId="0" fontId="21" fillId="12" borderId="10" xfId="0" applyFont="1" applyFill="1" applyBorder="1" applyAlignment="1" applyProtection="1">
      <alignment horizontal="center" vertical="center" wrapText="1"/>
    </xf>
    <xf numFmtId="0" fontId="21" fillId="53" borderId="10" xfId="0" applyFont="1" applyFill="1" applyBorder="1" applyAlignment="1" applyProtection="1">
      <alignment horizontal="center" vertical="center" wrapText="1"/>
    </xf>
    <xf numFmtId="4" fontId="21" fillId="49" borderId="24" xfId="0" applyNumberFormat="1" applyFont="1" applyFill="1" applyBorder="1" applyAlignment="1" applyProtection="1">
      <alignment horizontal="center" vertical="center"/>
    </xf>
    <xf numFmtId="0" fontId="26" fillId="2" borderId="0" xfId="0" applyFont="1" applyFill="1" applyBorder="1" applyAlignment="1" applyProtection="1">
      <alignment vertical="center"/>
    </xf>
    <xf numFmtId="4" fontId="67" fillId="0" borderId="73" xfId="0" applyNumberFormat="1" applyFont="1" applyFill="1" applyBorder="1" applyAlignment="1" applyProtection="1">
      <alignment horizontal="center" vertical="center"/>
    </xf>
    <xf numFmtId="0" fontId="66" fillId="2" borderId="0" xfId="0" applyFont="1" applyFill="1" applyBorder="1" applyAlignment="1" applyProtection="1">
      <alignment horizontal="right" vertical="center"/>
    </xf>
    <xf numFmtId="4" fontId="67" fillId="0" borderId="0" xfId="0" applyNumberFormat="1" applyFont="1" applyFill="1" applyBorder="1" applyAlignment="1" applyProtection="1">
      <alignment horizontal="center" vertical="center"/>
    </xf>
    <xf numFmtId="0" fontId="15" fillId="0" borderId="10" xfId="0" applyFont="1" applyBorder="1" applyAlignment="1" applyProtection="1">
      <alignment horizontal="center" vertical="center" wrapText="1"/>
    </xf>
    <xf numFmtId="0" fontId="21" fillId="0" borderId="10" xfId="0" applyFont="1" applyBorder="1" applyAlignment="1" applyProtection="1">
      <alignment horizontal="left" vertical="center" wrapText="1"/>
    </xf>
    <xf numFmtId="0" fontId="21" fillId="0" borderId="10" xfId="0" applyFont="1" applyFill="1" applyBorder="1" applyAlignment="1" applyProtection="1">
      <alignment horizontal="center" vertical="center" wrapText="1"/>
    </xf>
    <xf numFmtId="0" fontId="21" fillId="11" borderId="10" xfId="0" applyFont="1" applyFill="1" applyBorder="1" applyAlignment="1" applyProtection="1">
      <alignment horizontal="left" vertical="center" wrapText="1"/>
    </xf>
    <xf numFmtId="44" fontId="21" fillId="7" borderId="10" xfId="0" applyNumberFormat="1" applyFont="1" applyFill="1" applyBorder="1" applyAlignment="1" applyProtection="1">
      <alignment horizontal="center" vertical="center"/>
    </xf>
    <xf numFmtId="0" fontId="15" fillId="8" borderId="10" xfId="0" applyFont="1" applyFill="1" applyBorder="1" applyAlignment="1" applyProtection="1">
      <alignment horizontal="center" vertical="center" wrapText="1"/>
    </xf>
    <xf numFmtId="0" fontId="21" fillId="8" borderId="10" xfId="0" applyFont="1" applyFill="1" applyBorder="1" applyAlignment="1" applyProtection="1">
      <alignment horizontal="center" vertical="center" wrapText="1"/>
    </xf>
    <xf numFmtId="0" fontId="26" fillId="2" borderId="0" xfId="0" applyFont="1" applyFill="1" applyBorder="1" applyAlignment="1" applyProtection="1">
      <alignment horizontal="right" vertical="center"/>
    </xf>
    <xf numFmtId="4" fontId="26" fillId="0" borderId="0" xfId="0" applyNumberFormat="1" applyFont="1" applyFill="1" applyBorder="1" applyAlignment="1" applyProtection="1">
      <alignment horizontal="center" vertical="center"/>
    </xf>
    <xf numFmtId="0" fontId="16" fillId="2" borderId="0" xfId="0" applyFont="1" applyFill="1" applyBorder="1" applyAlignment="1" applyProtection="1">
      <alignment vertical="center" wrapText="1"/>
    </xf>
    <xf numFmtId="4" fontId="55" fillId="5" borderId="73" xfId="0" applyNumberFormat="1" applyFont="1" applyFill="1" applyBorder="1" applyAlignment="1" applyProtection="1">
      <alignment horizontal="center" vertical="center"/>
    </xf>
    <xf numFmtId="0" fontId="55" fillId="2" borderId="0" xfId="0" applyFont="1" applyFill="1" applyBorder="1" applyAlignment="1" applyProtection="1">
      <alignment horizontal="left"/>
    </xf>
    <xf numFmtId="0" fontId="55" fillId="2" borderId="0" xfId="0" applyFont="1" applyFill="1" applyBorder="1" applyProtection="1"/>
    <xf numFmtId="0" fontId="55" fillId="2" borderId="0" xfId="0" applyFont="1" applyFill="1" applyBorder="1" applyAlignment="1" applyProtection="1">
      <alignment horizontal="center"/>
    </xf>
    <xf numFmtId="0" fontId="68" fillId="2" borderId="77" xfId="0" applyFont="1" applyFill="1" applyBorder="1" applyAlignment="1" applyProtection="1"/>
    <xf numFmtId="0" fontId="14" fillId="0" borderId="77" xfId="0" applyFont="1" applyBorder="1" applyAlignment="1" applyProtection="1"/>
    <xf numFmtId="0" fontId="26" fillId="2" borderId="77" xfId="0" applyFont="1" applyFill="1" applyBorder="1" applyAlignment="1" applyProtection="1"/>
    <xf numFmtId="0" fontId="14" fillId="0" borderId="77" xfId="0" applyFont="1" applyBorder="1" applyProtection="1"/>
    <xf numFmtId="0" fontId="26" fillId="2" borderId="77" xfId="0" applyFont="1" applyFill="1" applyBorder="1" applyAlignment="1" applyProtection="1">
      <alignment horizontal="center"/>
    </xf>
    <xf numFmtId="0" fontId="26" fillId="2" borderId="0" xfId="0" applyFont="1" applyFill="1" applyBorder="1" applyAlignment="1" applyProtection="1">
      <alignment horizontal="center"/>
    </xf>
    <xf numFmtId="0" fontId="15" fillId="34" borderId="10" xfId="0" applyFont="1" applyFill="1" applyBorder="1" applyAlignment="1" applyProtection="1">
      <alignment horizontal="center" vertical="center" wrapText="1"/>
    </xf>
    <xf numFmtId="0" fontId="15" fillId="34" borderId="87" xfId="0" applyFont="1" applyFill="1" applyBorder="1" applyAlignment="1" applyProtection="1">
      <alignment horizontal="center" vertical="center" wrapText="1"/>
    </xf>
    <xf numFmtId="3" fontId="21" fillId="7" borderId="21" xfId="0" applyNumberFormat="1" applyFont="1" applyFill="1" applyBorder="1" applyAlignment="1" applyProtection="1">
      <alignment horizontal="center" vertical="center"/>
    </xf>
    <xf numFmtId="4" fontId="21" fillId="11" borderId="10" xfId="0" applyNumberFormat="1" applyFont="1" applyFill="1" applyBorder="1" applyAlignment="1" applyProtection="1">
      <alignment horizontal="center" vertical="center" wrapText="1"/>
    </xf>
    <xf numFmtId="4" fontId="21" fillId="50" borderId="10" xfId="0" applyNumberFormat="1" applyFont="1" applyFill="1" applyBorder="1" applyAlignment="1" applyProtection="1">
      <alignment horizontal="center" vertical="center" wrapText="1"/>
    </xf>
    <xf numFmtId="3" fontId="21" fillId="2" borderId="21" xfId="0" applyNumberFormat="1" applyFont="1" applyFill="1" applyBorder="1" applyAlignment="1" applyProtection="1">
      <alignment horizontal="center" vertical="center"/>
    </xf>
    <xf numFmtId="4" fontId="21" fillId="0" borderId="10" xfId="0" applyNumberFormat="1" applyFont="1" applyBorder="1" applyAlignment="1" applyProtection="1">
      <alignment horizontal="center" vertical="center" wrapText="1"/>
    </xf>
    <xf numFmtId="4" fontId="21" fillId="13" borderId="10" xfId="0" applyNumberFormat="1" applyFont="1" applyFill="1" applyBorder="1" applyAlignment="1" applyProtection="1">
      <alignment horizontal="center" vertical="center" wrapText="1"/>
    </xf>
    <xf numFmtId="0" fontId="26" fillId="2" borderId="0" xfId="0" applyFont="1" applyFill="1" applyBorder="1" applyAlignment="1" applyProtection="1">
      <alignment horizontal="left"/>
    </xf>
    <xf numFmtId="0" fontId="26" fillId="2" borderId="14" xfId="0" applyFont="1" applyFill="1" applyBorder="1" applyAlignment="1" applyProtection="1"/>
    <xf numFmtId="4" fontId="15" fillId="13" borderId="15" xfId="0" applyNumberFormat="1" applyFont="1" applyFill="1" applyBorder="1" applyAlignment="1" applyProtection="1">
      <alignment horizontal="right" vertical="center" wrapText="1"/>
    </xf>
    <xf numFmtId="4" fontId="26" fillId="9" borderId="88" xfId="0" applyNumberFormat="1" applyFont="1" applyFill="1" applyBorder="1" applyAlignment="1" applyProtection="1">
      <alignment horizontal="center" vertical="center"/>
    </xf>
    <xf numFmtId="0" fontId="16" fillId="0" borderId="0" xfId="0" applyFont="1" applyAlignment="1" applyProtection="1">
      <alignment horizontal="center" vertical="center" wrapText="1"/>
    </xf>
    <xf numFmtId="0" fontId="26" fillId="2" borderId="0" xfId="0" applyFont="1" applyFill="1" applyBorder="1" applyProtection="1"/>
    <xf numFmtId="0" fontId="68" fillId="2" borderId="77" xfId="0" applyFont="1" applyFill="1" applyBorder="1" applyAlignment="1" applyProtection="1">
      <alignment horizontal="left"/>
    </xf>
    <xf numFmtId="0" fontId="53" fillId="0" borderId="77" xfId="0" applyFont="1" applyBorder="1" applyAlignment="1" applyProtection="1">
      <alignment horizontal="left"/>
    </xf>
    <xf numFmtId="0" fontId="26" fillId="2" borderId="77" xfId="0" applyFont="1" applyFill="1" applyBorder="1" applyAlignment="1" applyProtection="1">
      <alignment horizontal="left"/>
    </xf>
    <xf numFmtId="0" fontId="15" fillId="34" borderId="78" xfId="0" applyFont="1" applyFill="1" applyBorder="1" applyAlignment="1" applyProtection="1">
      <alignment horizontal="center" vertical="center" wrapText="1"/>
    </xf>
    <xf numFmtId="0" fontId="15" fillId="8" borderId="27" xfId="0" applyFont="1" applyFill="1" applyBorder="1" applyAlignment="1" applyProtection="1">
      <alignment horizontal="center" vertical="center" wrapText="1"/>
    </xf>
    <xf numFmtId="0" fontId="70" fillId="8" borderId="21" xfId="0" applyFont="1" applyFill="1" applyBorder="1" applyAlignment="1" applyProtection="1">
      <alignment vertical="center" wrapText="1"/>
    </xf>
    <xf numFmtId="4" fontId="70" fillId="8" borderId="21" xfId="0" applyNumberFormat="1" applyFont="1" applyFill="1" applyBorder="1" applyAlignment="1" applyProtection="1">
      <alignment horizontal="center" vertical="center" wrapText="1"/>
    </xf>
    <xf numFmtId="4" fontId="21" fillId="50" borderId="89" xfId="0" applyNumberFormat="1" applyFont="1" applyFill="1" applyBorder="1" applyAlignment="1" applyProtection="1">
      <alignment horizontal="center" vertical="center" wrapText="1"/>
    </xf>
    <xf numFmtId="0" fontId="15" fillId="10" borderId="10" xfId="0" applyFont="1" applyFill="1" applyBorder="1" applyAlignment="1" applyProtection="1">
      <alignment horizontal="center" vertical="center" wrapText="1"/>
    </xf>
    <xf numFmtId="0" fontId="21" fillId="10" borderId="10" xfId="0" applyFont="1" applyFill="1" applyBorder="1" applyAlignment="1" applyProtection="1">
      <alignment horizontal="left" vertical="center" wrapText="1"/>
    </xf>
    <xf numFmtId="0" fontId="21" fillId="10" borderId="10" xfId="0" applyFont="1" applyFill="1" applyBorder="1" applyAlignment="1" applyProtection="1">
      <alignment horizontal="center" vertical="center" wrapText="1"/>
    </xf>
    <xf numFmtId="4" fontId="21" fillId="10" borderId="10" xfId="0" applyNumberFormat="1" applyFont="1" applyFill="1" applyBorder="1" applyAlignment="1" applyProtection="1">
      <alignment horizontal="center" vertical="center" wrapText="1"/>
    </xf>
    <xf numFmtId="4" fontId="21" fillId="0" borderId="10" xfId="0" applyNumberFormat="1" applyFont="1" applyFill="1" applyBorder="1" applyAlignment="1" applyProtection="1">
      <alignment horizontal="center" vertical="center" wrapText="1"/>
    </xf>
    <xf numFmtId="0" fontId="70" fillId="10" borderId="21" xfId="0" applyFont="1" applyFill="1" applyBorder="1" applyAlignment="1" applyProtection="1">
      <alignment vertical="center" wrapText="1"/>
    </xf>
    <xf numFmtId="4" fontId="70" fillId="10" borderId="21" xfId="0" applyNumberFormat="1" applyFont="1" applyFill="1" applyBorder="1" applyAlignment="1" applyProtection="1">
      <alignment horizontal="center" vertical="center" wrapText="1"/>
    </xf>
    <xf numFmtId="0" fontId="16" fillId="2" borderId="0" xfId="0" applyFont="1" applyFill="1" applyBorder="1" applyAlignment="1" applyProtection="1">
      <alignment horizontal="center" vertical="center" wrapText="1"/>
    </xf>
    <xf numFmtId="4" fontId="21" fillId="13" borderId="15" xfId="0" applyNumberFormat="1" applyFont="1" applyFill="1" applyBorder="1" applyAlignment="1" applyProtection="1">
      <alignment horizontal="center" vertical="center" wrapText="1"/>
    </xf>
    <xf numFmtId="0" fontId="3" fillId="9" borderId="0" xfId="0" applyFont="1" applyFill="1" applyBorder="1" applyAlignment="1" applyProtection="1">
      <alignment horizontal="center" vertical="center" wrapText="1"/>
    </xf>
    <xf numFmtId="0" fontId="69" fillId="10" borderId="0" xfId="0" applyFont="1" applyFill="1" applyBorder="1" applyProtection="1"/>
    <xf numFmtId="0" fontId="15" fillId="35" borderId="84" xfId="0" applyFont="1" applyFill="1" applyBorder="1" applyAlignment="1" applyProtection="1">
      <alignment horizontal="center" vertical="center" wrapText="1"/>
    </xf>
    <xf numFmtId="44" fontId="21" fillId="0" borderId="10" xfId="0" applyNumberFormat="1" applyFont="1" applyBorder="1" applyAlignment="1" applyProtection="1">
      <alignment horizontal="left" vertical="center" wrapText="1"/>
    </xf>
    <xf numFmtId="0" fontId="21" fillId="0" borderId="85" xfId="0" applyFont="1" applyBorder="1" applyAlignment="1" applyProtection="1">
      <alignment horizontal="center" vertical="center" wrapText="1"/>
    </xf>
    <xf numFmtId="44" fontId="21" fillId="8" borderId="10" xfId="0" applyNumberFormat="1" applyFont="1" applyFill="1" applyBorder="1" applyAlignment="1" applyProtection="1">
      <alignment horizontal="left" vertical="center" wrapText="1"/>
    </xf>
    <xf numFmtId="0" fontId="21" fillId="8" borderId="85" xfId="0" applyFont="1" applyFill="1" applyBorder="1" applyAlignment="1" applyProtection="1">
      <alignment horizontal="center" vertical="center" wrapText="1"/>
    </xf>
    <xf numFmtId="0" fontId="15" fillId="0" borderId="10" xfId="0" applyFont="1" applyFill="1" applyBorder="1" applyAlignment="1" applyProtection="1">
      <alignment horizontal="center" vertical="center" wrapText="1"/>
    </xf>
    <xf numFmtId="44" fontId="21" fillId="0" borderId="10" xfId="0" applyNumberFormat="1" applyFont="1" applyFill="1" applyBorder="1" applyAlignment="1" applyProtection="1">
      <alignment horizontal="left" vertical="center" wrapText="1"/>
    </xf>
    <xf numFmtId="0" fontId="21" fillId="0" borderId="85" xfId="0" applyFont="1" applyFill="1" applyBorder="1" applyAlignment="1" applyProtection="1">
      <alignment horizontal="center" vertical="center" wrapText="1"/>
    </xf>
    <xf numFmtId="0" fontId="21" fillId="11" borderId="85" xfId="0" applyFont="1" applyFill="1" applyBorder="1" applyAlignment="1" applyProtection="1">
      <alignment horizontal="center" vertical="center" wrapText="1"/>
    </xf>
    <xf numFmtId="4" fontId="26" fillId="9" borderId="27" xfId="0" applyNumberFormat="1" applyFont="1" applyFill="1" applyBorder="1" applyAlignment="1" applyProtection="1">
      <alignment horizontal="center" vertical="center"/>
    </xf>
    <xf numFmtId="44" fontId="21" fillId="10" borderId="10" xfId="0" applyNumberFormat="1" applyFont="1" applyFill="1" applyBorder="1" applyAlignment="1" applyProtection="1">
      <alignment horizontal="center" vertical="center"/>
    </xf>
    <xf numFmtId="4" fontId="21" fillId="0" borderId="86" xfId="0" applyNumberFormat="1" applyFont="1" applyFill="1" applyBorder="1" applyAlignment="1" applyProtection="1">
      <alignment horizontal="center" vertical="center"/>
    </xf>
    <xf numFmtId="4" fontId="21" fillId="50" borderId="86" xfId="0" applyNumberFormat="1" applyFont="1" applyFill="1" applyBorder="1" applyAlignment="1" applyProtection="1">
      <alignment horizontal="center" vertical="center"/>
    </xf>
    <xf numFmtId="4" fontId="26" fillId="9" borderId="10" xfId="0" applyNumberFormat="1" applyFont="1" applyFill="1" applyBorder="1" applyAlignment="1" applyProtection="1">
      <alignment horizontal="center" vertical="center"/>
    </xf>
    <xf numFmtId="4" fontId="55" fillId="14" borderId="73" xfId="0" applyNumberFormat="1" applyFont="1" applyFill="1" applyBorder="1" applyAlignment="1" applyProtection="1">
      <alignment horizontal="center" vertical="center"/>
    </xf>
    <xf numFmtId="0" fontId="55" fillId="2" borderId="0" xfId="0" applyFont="1" applyFill="1" applyBorder="1" applyAlignment="1" applyProtection="1">
      <alignment horizontal="right" vertical="center"/>
    </xf>
    <xf numFmtId="4" fontId="55" fillId="0" borderId="0" xfId="0" applyNumberFormat="1" applyFont="1" applyFill="1" applyBorder="1" applyAlignment="1" applyProtection="1">
      <alignment horizontal="center" vertical="center"/>
    </xf>
    <xf numFmtId="3" fontId="55" fillId="14" borderId="73" xfId="0" applyNumberFormat="1" applyFont="1" applyFill="1" applyBorder="1" applyAlignment="1" applyProtection="1">
      <alignment horizontal="center" vertical="center"/>
    </xf>
    <xf numFmtId="0" fontId="18" fillId="0" borderId="0" xfId="0" applyFont="1" applyAlignment="1" applyProtection="1">
      <alignment horizontal="center" vertical="center" wrapText="1"/>
    </xf>
    <xf numFmtId="0" fontId="21" fillId="36" borderId="10" xfId="0" applyFont="1" applyFill="1" applyBorder="1" applyAlignment="1" applyProtection="1">
      <alignment horizontal="center" vertical="center" wrapText="1"/>
    </xf>
    <xf numFmtId="0" fontId="21" fillId="37" borderId="10" xfId="0" applyFont="1" applyFill="1" applyBorder="1" applyAlignment="1" applyProtection="1">
      <alignment horizontal="center" vertical="center" wrapText="1"/>
    </xf>
    <xf numFmtId="4" fontId="21" fillId="40" borderId="11" xfId="0" applyNumberFormat="1" applyFont="1" applyFill="1" applyBorder="1" applyAlignment="1" applyProtection="1">
      <alignment horizontal="center" vertical="center"/>
    </xf>
    <xf numFmtId="4" fontId="21" fillId="41" borderId="11" xfId="0" applyNumberFormat="1" applyFont="1" applyFill="1" applyBorder="1" applyAlignment="1" applyProtection="1">
      <alignment horizontal="center" vertical="center"/>
    </xf>
    <xf numFmtId="0" fontId="21" fillId="43" borderId="10" xfId="0" applyFont="1" applyFill="1" applyBorder="1" applyAlignment="1" applyProtection="1">
      <alignment horizontal="center" vertical="center" wrapText="1"/>
    </xf>
    <xf numFmtId="0" fontId="21" fillId="44" borderId="10" xfId="0" applyFont="1" applyFill="1" applyBorder="1" applyAlignment="1" applyProtection="1">
      <alignment horizontal="center" vertical="center" wrapText="1"/>
    </xf>
    <xf numFmtId="4" fontId="21" fillId="47" borderId="11" xfId="0" applyNumberFormat="1" applyFont="1" applyFill="1" applyBorder="1" applyAlignment="1" applyProtection="1">
      <alignment horizontal="center" vertical="center"/>
    </xf>
    <xf numFmtId="4" fontId="21" fillId="48" borderId="11" xfId="0" applyNumberFormat="1" applyFont="1" applyFill="1" applyBorder="1" applyAlignment="1" applyProtection="1">
      <alignment horizontal="center" vertical="center"/>
    </xf>
    <xf numFmtId="0" fontId="21" fillId="12" borderId="10" xfId="0" applyFont="1" applyFill="1" applyBorder="1" applyAlignment="1" applyProtection="1">
      <alignment horizontal="left" vertical="center" wrapText="1"/>
    </xf>
    <xf numFmtId="0" fontId="21" fillId="51" borderId="10" xfId="0" applyFont="1" applyFill="1" applyBorder="1" applyAlignment="1" applyProtection="1">
      <alignment horizontal="center" vertical="center" wrapText="1"/>
    </xf>
    <xf numFmtId="0" fontId="21" fillId="52" borderId="10" xfId="0" applyFont="1" applyFill="1" applyBorder="1" applyAlignment="1" applyProtection="1">
      <alignment horizontal="center" vertical="center" wrapText="1"/>
    </xf>
    <xf numFmtId="4" fontId="26" fillId="9" borderId="21" xfId="0" applyNumberFormat="1" applyFont="1" applyFill="1" applyBorder="1" applyAlignment="1" applyProtection="1">
      <alignment horizontal="center" vertical="center"/>
    </xf>
    <xf numFmtId="0" fontId="53" fillId="0" borderId="77" xfId="0" applyFont="1" applyBorder="1" applyAlignment="1" applyProtection="1"/>
    <xf numFmtId="0" fontId="14" fillId="0" borderId="26" xfId="0" applyFont="1" applyBorder="1" applyProtection="1"/>
    <xf numFmtId="4" fontId="21" fillId="40" borderId="34" xfId="0" applyNumberFormat="1" applyFont="1" applyFill="1" applyBorder="1" applyAlignment="1" applyProtection="1">
      <alignment horizontal="center" vertical="center"/>
    </xf>
    <xf numFmtId="4" fontId="21" fillId="41" borderId="34" xfId="0" applyNumberFormat="1" applyFont="1" applyFill="1" applyBorder="1" applyAlignment="1" applyProtection="1">
      <alignment horizontal="center" vertical="center"/>
    </xf>
    <xf numFmtId="4" fontId="21" fillId="42" borderId="34" xfId="0" applyNumberFormat="1" applyFont="1" applyFill="1" applyBorder="1" applyAlignment="1" applyProtection="1">
      <alignment horizontal="center" vertical="center"/>
    </xf>
    <xf numFmtId="4" fontId="21" fillId="47" borderId="27" xfId="0" applyNumberFormat="1" applyFont="1" applyFill="1" applyBorder="1" applyAlignment="1" applyProtection="1">
      <alignment horizontal="center" vertical="center"/>
    </xf>
    <xf numFmtId="4" fontId="21" fillId="48" borderId="27" xfId="0" applyNumberFormat="1" applyFont="1" applyFill="1" applyBorder="1" applyAlignment="1" applyProtection="1">
      <alignment horizontal="center" vertical="center"/>
    </xf>
    <xf numFmtId="4" fontId="21" fillId="49" borderId="27" xfId="0" applyNumberFormat="1" applyFont="1" applyFill="1" applyBorder="1" applyAlignment="1" applyProtection="1">
      <alignment horizontal="center" vertical="center"/>
    </xf>
    <xf numFmtId="0" fontId="15" fillId="12" borderId="10" xfId="0" applyFont="1" applyFill="1" applyBorder="1" applyAlignment="1" applyProtection="1">
      <alignment horizontal="center" vertical="center" wrapText="1"/>
    </xf>
    <xf numFmtId="4" fontId="21" fillId="40" borderId="27" xfId="0" applyNumberFormat="1" applyFont="1" applyFill="1" applyBorder="1" applyAlignment="1" applyProtection="1">
      <alignment horizontal="center" vertical="center"/>
    </xf>
    <xf numFmtId="4" fontId="21" fillId="41" borderId="27" xfId="0" applyNumberFormat="1" applyFont="1" applyFill="1" applyBorder="1" applyAlignment="1" applyProtection="1">
      <alignment horizontal="center" vertical="center"/>
    </xf>
    <xf numFmtId="4" fontId="21" fillId="42" borderId="27" xfId="0" applyNumberFormat="1" applyFont="1" applyFill="1" applyBorder="1" applyAlignment="1" applyProtection="1">
      <alignment horizontal="center" vertical="center"/>
    </xf>
    <xf numFmtId="0" fontId="15" fillId="35" borderId="80" xfId="0" applyFont="1" applyFill="1" applyBorder="1" applyAlignment="1" applyProtection="1">
      <alignment horizontal="center" vertical="center" wrapText="1"/>
    </xf>
    <xf numFmtId="4" fontId="26" fillId="10" borderId="73" xfId="0" applyNumberFormat="1" applyFont="1" applyFill="1" applyBorder="1" applyAlignment="1" applyProtection="1">
      <alignment horizontal="center" vertical="center"/>
    </xf>
    <xf numFmtId="4" fontId="26" fillId="9" borderId="10" xfId="0" applyNumberFormat="1" applyFont="1" applyFill="1" applyBorder="1" applyAlignment="1" applyProtection="1">
      <alignment horizontal="center"/>
    </xf>
    <xf numFmtId="0" fontId="55" fillId="2" borderId="77" xfId="0" applyFont="1" applyFill="1" applyBorder="1" applyAlignment="1" applyProtection="1"/>
    <xf numFmtId="0" fontId="73" fillId="12" borderId="23" xfId="0" applyFont="1" applyFill="1" applyBorder="1" applyAlignment="1" applyProtection="1">
      <alignment horizontal="center" vertical="center" wrapText="1"/>
    </xf>
    <xf numFmtId="0" fontId="73" fillId="12" borderId="0" xfId="0" applyFont="1" applyFill="1" applyBorder="1" applyAlignment="1" applyProtection="1">
      <alignment horizontal="center" vertical="center" wrapText="1"/>
    </xf>
    <xf numFmtId="4" fontId="21" fillId="13" borderId="11" xfId="0" applyNumberFormat="1" applyFont="1" applyFill="1" applyBorder="1" applyAlignment="1" applyProtection="1">
      <alignment horizontal="center" vertical="center" wrapText="1"/>
    </xf>
    <xf numFmtId="4" fontId="74" fillId="13" borderId="23" xfId="0" applyNumberFormat="1" applyFont="1" applyFill="1" applyBorder="1" applyAlignment="1" applyProtection="1">
      <alignment horizontal="center" vertical="center" wrapText="1"/>
    </xf>
    <xf numFmtId="4" fontId="74" fillId="13" borderId="0" xfId="0" applyNumberFormat="1" applyFont="1" applyFill="1" applyBorder="1" applyAlignment="1" applyProtection="1">
      <alignment horizontal="center" vertical="center" wrapText="1"/>
    </xf>
    <xf numFmtId="4" fontId="21" fillId="50" borderId="11" xfId="0" applyNumberFormat="1" applyFont="1" applyFill="1" applyBorder="1" applyAlignment="1" applyProtection="1">
      <alignment horizontal="center" vertical="center" wrapText="1"/>
    </xf>
    <xf numFmtId="0" fontId="26" fillId="2" borderId="0" xfId="0" applyFont="1" applyFill="1" applyBorder="1" applyAlignment="1" applyProtection="1">
      <alignment horizontal="right"/>
    </xf>
    <xf numFmtId="4" fontId="74" fillId="13" borderId="79" xfId="0" applyNumberFormat="1" applyFont="1" applyFill="1" applyBorder="1" applyAlignment="1" applyProtection="1">
      <alignment horizontal="center" vertical="center" wrapText="1"/>
    </xf>
    <xf numFmtId="4" fontId="26" fillId="9" borderId="35" xfId="0" applyNumberFormat="1" applyFont="1" applyFill="1" applyBorder="1" applyAlignment="1" applyProtection="1">
      <alignment horizontal="center" vertical="center"/>
    </xf>
    <xf numFmtId="4" fontId="75" fillId="9" borderId="23" xfId="0" applyNumberFormat="1" applyFont="1" applyFill="1" applyBorder="1" applyAlignment="1" applyProtection="1">
      <alignment horizontal="center" vertical="center"/>
    </xf>
    <xf numFmtId="4" fontId="75" fillId="9" borderId="0" xfId="0" applyNumberFormat="1" applyFont="1" applyFill="1" applyBorder="1" applyAlignment="1" applyProtection="1">
      <alignment horizontal="center" vertical="center"/>
    </xf>
    <xf numFmtId="0" fontId="75" fillId="2" borderId="0" xfId="0" applyFont="1" applyFill="1" applyBorder="1" applyAlignment="1" applyProtection="1">
      <alignment horizontal="center"/>
    </xf>
    <xf numFmtId="4" fontId="26" fillId="10" borderId="82" xfId="0" applyNumberFormat="1" applyFont="1" applyFill="1" applyBorder="1" applyAlignment="1" applyProtection="1">
      <alignment horizontal="center" vertical="center"/>
    </xf>
    <xf numFmtId="4" fontId="26" fillId="10" borderId="0" xfId="0" applyNumberFormat="1" applyFont="1" applyFill="1" applyBorder="1" applyAlignment="1" applyProtection="1">
      <alignment horizontal="center" vertical="center"/>
    </xf>
    <xf numFmtId="0" fontId="15" fillId="2" borderId="11" xfId="0" applyFont="1" applyFill="1" applyBorder="1" applyAlignment="1" applyProtection="1">
      <alignment horizontal="center" vertical="center" wrapText="1"/>
    </xf>
    <xf numFmtId="0" fontId="21" fillId="2" borderId="11" xfId="0" applyFont="1" applyFill="1" applyBorder="1" applyAlignment="1" applyProtection="1">
      <alignment horizontal="left" vertical="center" wrapText="1"/>
    </xf>
    <xf numFmtId="0" fontId="15" fillId="2" borderId="19" xfId="0" applyFont="1" applyFill="1" applyBorder="1" applyAlignment="1" applyProtection="1">
      <alignment horizontal="center" vertical="center" wrapText="1"/>
    </xf>
    <xf numFmtId="0" fontId="21" fillId="0" borderId="19" xfId="0" applyFont="1" applyFill="1" applyBorder="1" applyAlignment="1" applyProtection="1">
      <alignment horizontal="left" vertical="center" wrapText="1"/>
    </xf>
    <xf numFmtId="0" fontId="15" fillId="0" borderId="27" xfId="0" applyFont="1" applyBorder="1" applyAlignment="1" applyProtection="1">
      <alignment horizontal="center" vertical="center" wrapText="1"/>
    </xf>
    <xf numFmtId="0" fontId="70" fillId="0" borderId="21" xfId="0" applyFont="1" applyBorder="1" applyAlignment="1" applyProtection="1">
      <alignment vertical="center" wrapText="1"/>
    </xf>
    <xf numFmtId="0" fontId="21" fillId="0" borderId="13" xfId="0" applyFont="1" applyBorder="1" applyAlignment="1" applyProtection="1">
      <alignment horizontal="center" vertical="center" wrapText="1"/>
    </xf>
    <xf numFmtId="0" fontId="26" fillId="2" borderId="14" xfId="0" applyFont="1" applyFill="1" applyBorder="1" applyAlignment="1" applyProtection="1">
      <alignment vertical="center"/>
    </xf>
    <xf numFmtId="0" fontId="21" fillId="0" borderId="22" xfId="0" applyFont="1" applyBorder="1" applyAlignment="1" applyProtection="1">
      <alignment horizontal="center" vertical="center" wrapText="1"/>
    </xf>
    <xf numFmtId="0" fontId="21" fillId="0" borderId="22" xfId="0" applyFont="1" applyFill="1" applyBorder="1" applyAlignment="1" applyProtection="1">
      <alignment horizontal="center" vertical="center" wrapText="1"/>
    </xf>
    <xf numFmtId="3" fontId="21" fillId="0" borderId="21" xfId="0" applyNumberFormat="1" applyFont="1" applyFill="1" applyBorder="1" applyAlignment="1" applyProtection="1">
      <alignment horizontal="center" vertical="center"/>
    </xf>
    <xf numFmtId="0" fontId="21" fillId="10" borderId="22" xfId="0" applyFont="1" applyFill="1" applyBorder="1" applyAlignment="1" applyProtection="1">
      <alignment horizontal="center" vertical="center" wrapText="1"/>
    </xf>
    <xf numFmtId="0" fontId="21" fillId="8" borderId="22" xfId="0" applyFont="1" applyFill="1" applyBorder="1" applyAlignment="1" applyProtection="1">
      <alignment horizontal="center" vertical="center" wrapText="1"/>
    </xf>
    <xf numFmtId="2" fontId="72" fillId="5" borderId="73" xfId="0" applyNumberFormat="1" applyFont="1" applyFill="1" applyBorder="1" applyAlignment="1" applyProtection="1">
      <alignment horizontal="center" vertical="center"/>
    </xf>
    <xf numFmtId="4" fontId="72" fillId="14" borderId="73" xfId="0" applyNumberFormat="1" applyFont="1" applyFill="1" applyBorder="1" applyAlignment="1" applyProtection="1">
      <alignment horizontal="center" vertical="center"/>
    </xf>
    <xf numFmtId="0" fontId="16" fillId="2" borderId="0" xfId="0" applyFont="1" applyFill="1" applyBorder="1" applyAlignment="1" applyProtection="1">
      <alignment horizontal="center" vertical="center" wrapText="1"/>
    </xf>
    <xf numFmtId="3" fontId="21" fillId="7" borderId="21" xfId="0" applyNumberFormat="1" applyFont="1" applyFill="1" applyBorder="1" applyAlignment="1" applyProtection="1">
      <alignment horizontal="center" vertical="center"/>
    </xf>
    <xf numFmtId="0" fontId="26" fillId="2" borderId="0" xfId="0" applyFont="1" applyFill="1" applyBorder="1" applyAlignment="1" applyProtection="1">
      <alignment horizontal="right" vertical="center"/>
    </xf>
    <xf numFmtId="0" fontId="14" fillId="0" borderId="77" xfId="0" applyFont="1" applyBorder="1" applyProtection="1"/>
    <xf numFmtId="0" fontId="15" fillId="35" borderId="81" xfId="0" applyFont="1" applyFill="1" applyBorder="1" applyAlignment="1" applyProtection="1">
      <alignment horizontal="center" vertical="center" wrapText="1"/>
    </xf>
    <xf numFmtId="3" fontId="21" fillId="2" borderId="21" xfId="0" applyNumberFormat="1" applyFont="1" applyFill="1" applyBorder="1" applyAlignment="1" applyProtection="1">
      <alignment horizontal="center" vertical="center"/>
    </xf>
    <xf numFmtId="0" fontId="21" fillId="11" borderId="22" xfId="0" applyFont="1" applyFill="1" applyBorder="1" applyAlignment="1" applyProtection="1">
      <alignment horizontal="center" vertical="center" wrapText="1"/>
    </xf>
    <xf numFmtId="0" fontId="72" fillId="2" borderId="0" xfId="0" applyFont="1" applyFill="1" applyBorder="1" applyAlignment="1" applyProtection="1">
      <alignment horizontal="right"/>
    </xf>
    <xf numFmtId="0" fontId="14" fillId="0" borderId="0" xfId="0" applyFont="1" applyBorder="1" applyProtection="1"/>
    <xf numFmtId="0" fontId="14" fillId="0" borderId="0" xfId="3" applyFont="1" applyBorder="1" applyAlignment="1" applyProtection="1">
      <alignment horizontal="left" vertical="center" wrapText="1"/>
    </xf>
    <xf numFmtId="0" fontId="72" fillId="2" borderId="0" xfId="0" applyFont="1" applyFill="1" applyBorder="1" applyAlignment="1" applyProtection="1"/>
    <xf numFmtId="0" fontId="0" fillId="0" borderId="0" xfId="0" applyProtection="1"/>
    <xf numFmtId="44" fontId="15" fillId="39" borderId="10" xfId="0" applyNumberFormat="1" applyFont="1" applyFill="1" applyBorder="1" applyAlignment="1" applyProtection="1">
      <alignment horizontal="center" vertical="center"/>
    </xf>
    <xf numFmtId="44" fontId="15" fillId="46" borderId="10" xfId="0" applyNumberFormat="1" applyFont="1" applyFill="1" applyBorder="1" applyAlignment="1" applyProtection="1">
      <alignment horizontal="center" vertical="center"/>
    </xf>
    <xf numFmtId="44" fontId="15" fillId="46" borderId="11" xfId="0" applyNumberFormat="1" applyFont="1" applyFill="1" applyBorder="1" applyAlignment="1" applyProtection="1">
      <alignment horizontal="center" vertical="center"/>
    </xf>
    <xf numFmtId="44" fontId="15" fillId="4" borderId="10" xfId="0" applyNumberFormat="1" applyFont="1" applyFill="1" applyBorder="1" applyAlignment="1" applyProtection="1">
      <alignment horizontal="center" vertical="center"/>
    </xf>
    <xf numFmtId="4" fontId="15" fillId="4" borderId="10" xfId="0" applyNumberFormat="1" applyFont="1" applyFill="1" applyBorder="1" applyAlignment="1" applyProtection="1">
      <alignment horizontal="center" vertical="center" wrapText="1"/>
    </xf>
    <xf numFmtId="4" fontId="15" fillId="46" borderId="10" xfId="0" applyNumberFormat="1" applyFont="1" applyFill="1" applyBorder="1" applyAlignment="1" applyProtection="1">
      <alignment horizontal="center" vertical="center" wrapText="1"/>
    </xf>
    <xf numFmtId="4" fontId="21" fillId="4" borderId="27" xfId="0" applyNumberFormat="1" applyFont="1" applyFill="1" applyBorder="1" applyAlignment="1" applyProtection="1">
      <alignment horizontal="center" vertical="center" wrapText="1"/>
    </xf>
    <xf numFmtId="4" fontId="21" fillId="4" borderId="10" xfId="0" applyNumberFormat="1" applyFont="1" applyFill="1" applyBorder="1" applyAlignment="1" applyProtection="1">
      <alignment horizontal="center" vertical="center" wrapText="1"/>
    </xf>
    <xf numFmtId="4" fontId="21" fillId="46" borderId="10" xfId="0" applyNumberFormat="1" applyFont="1" applyFill="1" applyBorder="1" applyAlignment="1" applyProtection="1">
      <alignment horizontal="center" vertical="center" wrapText="1"/>
    </xf>
    <xf numFmtId="0" fontId="13" fillId="0" borderId="0" xfId="3" applyFont="1" applyFill="1" applyBorder="1" applyAlignment="1" applyProtection="1">
      <alignment vertical="center" wrapText="1"/>
    </xf>
    <xf numFmtId="0" fontId="8" fillId="0" borderId="0" xfId="0" applyFont="1" applyProtection="1"/>
    <xf numFmtId="0" fontId="18" fillId="16" borderId="0" xfId="0" applyFont="1" applyFill="1" applyBorder="1" applyAlignment="1" applyProtection="1">
      <alignment horizontal="right" vertical="center" wrapText="1"/>
    </xf>
    <xf numFmtId="169" fontId="16" fillId="16" borderId="27" xfId="0" applyNumberFormat="1" applyFont="1" applyFill="1" applyBorder="1" applyAlignment="1" applyProtection="1">
      <alignment horizontal="center" vertical="center" wrapText="1"/>
    </xf>
    <xf numFmtId="0" fontId="18" fillId="16" borderId="0" xfId="0" applyFont="1" applyFill="1" applyBorder="1" applyAlignment="1" applyProtection="1">
      <alignment horizontal="right" vertical="center"/>
    </xf>
    <xf numFmtId="0" fontId="16" fillId="16" borderId="27" xfId="0" applyNumberFormat="1" applyFont="1" applyFill="1" applyBorder="1" applyAlignment="1" applyProtection="1">
      <alignment horizontal="center" vertical="center" wrapText="1"/>
    </xf>
    <xf numFmtId="0" fontId="17" fillId="16" borderId="0" xfId="0" applyFont="1" applyFill="1" applyBorder="1" applyAlignment="1" applyProtection="1">
      <alignment horizontal="center" vertical="center" wrapText="1"/>
    </xf>
    <xf numFmtId="0" fontId="50" fillId="16" borderId="0" xfId="0" applyFont="1" applyFill="1" applyBorder="1" applyAlignment="1" applyProtection="1">
      <alignment vertical="center" wrapText="1"/>
    </xf>
    <xf numFmtId="14" fontId="16" fillId="16" borderId="27" xfId="0" applyNumberFormat="1" applyFont="1" applyFill="1" applyBorder="1" applyAlignment="1" applyProtection="1">
      <alignment horizontal="center" vertical="center" wrapText="1"/>
    </xf>
    <xf numFmtId="0" fontId="18" fillId="16" borderId="0" xfId="0" applyFont="1" applyFill="1" applyBorder="1" applyAlignment="1" applyProtection="1">
      <alignment horizontal="center" vertical="center" wrapText="1"/>
    </xf>
    <xf numFmtId="0" fontId="49" fillId="16" borderId="0" xfId="0" applyFont="1" applyFill="1" applyBorder="1" applyAlignment="1" applyProtection="1">
      <alignment vertical="center" wrapText="1"/>
    </xf>
    <xf numFmtId="0" fontId="18" fillId="16" borderId="0" xfId="0" applyFont="1" applyFill="1" applyBorder="1" applyAlignment="1" applyProtection="1">
      <alignment horizontal="center" vertical="center"/>
    </xf>
    <xf numFmtId="0" fontId="51" fillId="16" borderId="0" xfId="0" applyFont="1" applyFill="1" applyBorder="1" applyProtection="1"/>
    <xf numFmtId="0" fontId="16" fillId="0" borderId="0" xfId="0" applyFont="1" applyBorder="1" applyProtection="1"/>
    <xf numFmtId="0" fontId="51" fillId="16" borderId="0" xfId="0" applyFont="1" applyFill="1" applyBorder="1" applyAlignment="1" applyProtection="1">
      <alignment horizontal="left"/>
    </xf>
    <xf numFmtId="0" fontId="52" fillId="16" borderId="70" xfId="0" applyFont="1" applyFill="1" applyBorder="1" applyProtection="1"/>
    <xf numFmtId="0" fontId="16" fillId="0" borderId="70" xfId="0" applyFont="1" applyBorder="1" applyProtection="1"/>
    <xf numFmtId="0" fontId="51" fillId="16" borderId="70" xfId="0" applyFont="1" applyFill="1" applyBorder="1" applyAlignment="1" applyProtection="1">
      <alignment horizontal="left"/>
    </xf>
    <xf numFmtId="0" fontId="18" fillId="28" borderId="11" xfId="0" applyFont="1" applyFill="1" applyBorder="1" applyAlignment="1" applyProtection="1">
      <alignment horizontal="center" vertical="center" wrapText="1"/>
    </xf>
    <xf numFmtId="0" fontId="10" fillId="28" borderId="11" xfId="0" applyFont="1" applyFill="1" applyBorder="1" applyAlignment="1" applyProtection="1">
      <alignment horizontal="center" vertical="center" wrapText="1"/>
    </xf>
    <xf numFmtId="0" fontId="18" fillId="28" borderId="24" xfId="0" applyFont="1" applyFill="1" applyBorder="1" applyAlignment="1" applyProtection="1">
      <alignment horizontal="center" vertical="center" wrapText="1"/>
    </xf>
    <xf numFmtId="3" fontId="16" fillId="0" borderId="10" xfId="0" applyNumberFormat="1" applyFont="1" applyBorder="1" applyAlignment="1" applyProtection="1">
      <alignment horizontal="center" vertical="center"/>
    </xf>
    <xf numFmtId="1" fontId="16" fillId="0" borderId="10" xfId="0" applyNumberFormat="1" applyFont="1" applyBorder="1" applyAlignment="1" applyProtection="1">
      <alignment horizontal="center" vertical="center"/>
    </xf>
    <xf numFmtId="4" fontId="16" fillId="18" borderId="22" xfId="0" applyNumberFormat="1" applyFont="1" applyFill="1" applyBorder="1" applyAlignment="1" applyProtection="1">
      <alignment horizontal="center" vertical="center"/>
    </xf>
    <xf numFmtId="4" fontId="18" fillId="0" borderId="73" xfId="0" applyNumberFormat="1" applyFont="1" applyBorder="1" applyAlignment="1" applyProtection="1">
      <alignment horizontal="right" vertical="center"/>
    </xf>
    <xf numFmtId="0" fontId="18" fillId="0" borderId="0" xfId="0" applyFont="1" applyAlignment="1" applyProtection="1">
      <alignment horizontal="right"/>
    </xf>
    <xf numFmtId="164" fontId="18" fillId="14" borderId="52" xfId="0" applyNumberFormat="1" applyFont="1" applyFill="1" applyBorder="1" applyAlignment="1" applyProtection="1">
      <alignment horizontal="right" vertical="center"/>
    </xf>
    <xf numFmtId="0" fontId="10" fillId="0" borderId="11" xfId="0" applyFont="1" applyFill="1" applyBorder="1" applyAlignment="1" applyProtection="1">
      <alignment horizontal="center" vertical="center" wrapText="1"/>
    </xf>
    <xf numFmtId="0" fontId="8" fillId="0" borderId="74" xfId="0" applyFont="1" applyFill="1" applyBorder="1" applyAlignment="1" applyProtection="1">
      <alignment horizontal="left" vertical="center" wrapText="1"/>
    </xf>
    <xf numFmtId="3" fontId="16" fillId="0" borderId="19" xfId="0" applyNumberFormat="1" applyFont="1" applyBorder="1" applyAlignment="1" applyProtection="1">
      <alignment horizontal="center" vertical="center"/>
    </xf>
    <xf numFmtId="1" fontId="16" fillId="0" borderId="19" xfId="0" applyNumberFormat="1" applyFont="1" applyBorder="1" applyAlignment="1" applyProtection="1">
      <alignment horizontal="center" vertical="center"/>
    </xf>
    <xf numFmtId="4" fontId="16" fillId="18" borderId="0" xfId="0" applyNumberFormat="1" applyFont="1" applyFill="1" applyBorder="1" applyAlignment="1" applyProtection="1">
      <alignment horizontal="center" vertical="center"/>
    </xf>
    <xf numFmtId="4" fontId="10" fillId="0" borderId="73" xfId="0" applyNumberFormat="1" applyFont="1" applyBorder="1" applyAlignment="1" applyProtection="1">
      <alignment horizontal="right" vertical="center"/>
    </xf>
    <xf numFmtId="0" fontId="18" fillId="8" borderId="10" xfId="0" applyFont="1" applyFill="1" applyBorder="1" applyAlignment="1" applyProtection="1">
      <alignment horizontal="center" vertical="center"/>
    </xf>
    <xf numFmtId="0" fontId="8" fillId="8" borderId="22" xfId="0" applyFont="1" applyFill="1" applyBorder="1" applyAlignment="1" applyProtection="1">
      <alignment horizontal="left" vertical="center" wrapText="1"/>
    </xf>
    <xf numFmtId="3" fontId="16" fillId="8" borderId="27" xfId="0" applyNumberFormat="1" applyFont="1" applyFill="1" applyBorder="1" applyAlignment="1" applyProtection="1">
      <alignment horizontal="center" vertical="center"/>
    </xf>
    <xf numFmtId="0" fontId="16" fillId="29" borderId="27" xfId="0" applyFont="1" applyFill="1" applyBorder="1" applyAlignment="1" applyProtection="1">
      <alignment horizontal="center" vertical="center"/>
    </xf>
    <xf numFmtId="4" fontId="16" fillId="18" borderId="35" xfId="0" applyNumberFormat="1" applyFont="1" applyFill="1" applyBorder="1" applyAlignment="1" applyProtection="1">
      <alignment horizontal="center" vertical="center"/>
    </xf>
    <xf numFmtId="4" fontId="18" fillId="8" borderId="73" xfId="0" applyNumberFormat="1" applyFont="1" applyFill="1" applyBorder="1" applyAlignment="1" applyProtection="1">
      <alignment horizontal="right" vertical="center"/>
    </xf>
    <xf numFmtId="0" fontId="18" fillId="0" borderId="22" xfId="0" applyFont="1" applyFill="1" applyBorder="1" applyAlignment="1" applyProtection="1">
      <alignment horizontal="center" vertical="center"/>
    </xf>
    <xf numFmtId="0" fontId="8" fillId="0" borderId="35" xfId="0" applyFont="1" applyFill="1" applyBorder="1" applyAlignment="1" applyProtection="1">
      <alignment vertical="center" wrapText="1"/>
    </xf>
    <xf numFmtId="3" fontId="8" fillId="0" borderId="27" xfId="0" applyNumberFormat="1" applyFont="1" applyFill="1" applyBorder="1" applyAlignment="1" applyProtection="1">
      <alignment horizontal="center" vertical="center" wrapText="1"/>
    </xf>
    <xf numFmtId="0" fontId="16" fillId="30" borderId="27" xfId="0" applyFont="1" applyFill="1" applyBorder="1" applyAlignment="1" applyProtection="1">
      <alignment horizontal="center" vertical="center"/>
    </xf>
    <xf numFmtId="4" fontId="16" fillId="18" borderId="16" xfId="0" applyNumberFormat="1" applyFont="1" applyFill="1" applyBorder="1" applyAlignment="1" applyProtection="1">
      <alignment horizontal="center" vertical="center"/>
    </xf>
    <xf numFmtId="4" fontId="10" fillId="0" borderId="73" xfId="0" applyNumberFormat="1" applyFont="1" applyFill="1" applyBorder="1" applyAlignment="1" applyProtection="1">
      <alignment vertical="center" wrapText="1"/>
    </xf>
    <xf numFmtId="0" fontId="16" fillId="29" borderId="10" xfId="0" applyFont="1" applyFill="1" applyBorder="1" applyAlignment="1" applyProtection="1">
      <alignment horizontal="center" vertical="center"/>
    </xf>
    <xf numFmtId="3" fontId="16" fillId="29" borderId="10" xfId="0" applyNumberFormat="1" applyFont="1" applyFill="1" applyBorder="1" applyAlignment="1" applyProtection="1">
      <alignment horizontal="center" vertical="center"/>
    </xf>
    <xf numFmtId="4" fontId="18" fillId="29" borderId="73" xfId="0" applyNumberFormat="1" applyFont="1" applyFill="1" applyBorder="1" applyAlignment="1" applyProtection="1">
      <alignment horizontal="right" vertical="center"/>
    </xf>
    <xf numFmtId="0" fontId="8" fillId="0" borderId="10" xfId="0" applyFont="1" applyFill="1" applyBorder="1" applyAlignment="1" applyProtection="1">
      <alignment horizontal="left" vertical="center" wrapText="1"/>
    </xf>
    <xf numFmtId="0" fontId="18" fillId="31" borderId="10" xfId="0" applyFont="1" applyFill="1" applyBorder="1" applyAlignment="1" applyProtection="1">
      <alignment horizontal="center" vertical="center"/>
    </xf>
    <xf numFmtId="0" fontId="8" fillId="8" borderId="22" xfId="0" applyFont="1" applyFill="1" applyBorder="1" applyAlignment="1" applyProtection="1">
      <alignment vertical="center" wrapText="1"/>
    </xf>
    <xf numFmtId="0" fontId="16" fillId="31" borderId="10" xfId="0" applyFont="1" applyFill="1" applyBorder="1" applyAlignment="1" applyProtection="1">
      <alignment horizontal="center" vertical="center"/>
    </xf>
    <xf numFmtId="3" fontId="16" fillId="31" borderId="10" xfId="0" applyNumberFormat="1" applyFont="1" applyFill="1" applyBorder="1" applyAlignment="1" applyProtection="1">
      <alignment horizontal="center" vertical="center"/>
    </xf>
    <xf numFmtId="4" fontId="16" fillId="18" borderId="10" xfId="0" applyNumberFormat="1" applyFont="1" applyFill="1" applyBorder="1" applyAlignment="1" applyProtection="1">
      <alignment horizontal="center" vertical="center"/>
    </xf>
    <xf numFmtId="4" fontId="16" fillId="31" borderId="10" xfId="0" applyNumberFormat="1" applyFont="1" applyFill="1" applyBorder="1" applyAlignment="1" applyProtection="1">
      <alignment horizontal="right" vertical="center"/>
    </xf>
    <xf numFmtId="0" fontId="16" fillId="8" borderId="10" xfId="0" applyFont="1" applyFill="1" applyBorder="1" applyAlignment="1" applyProtection="1">
      <alignment horizontal="center" vertical="center"/>
    </xf>
    <xf numFmtId="3" fontId="16" fillId="8" borderId="10" xfId="0" applyNumberFormat="1" applyFont="1" applyFill="1" applyBorder="1" applyAlignment="1" applyProtection="1">
      <alignment horizontal="center" vertical="center"/>
    </xf>
    <xf numFmtId="1" fontId="16" fillId="8" borderId="10" xfId="0" applyNumberFormat="1" applyFont="1" applyFill="1" applyBorder="1" applyAlignment="1" applyProtection="1">
      <alignment horizontal="center" vertical="center"/>
    </xf>
    <xf numFmtId="4" fontId="16" fillId="8" borderId="10" xfId="0" applyNumberFormat="1" applyFont="1" applyFill="1" applyBorder="1" applyAlignment="1" applyProtection="1">
      <alignment horizontal="right" vertical="center"/>
    </xf>
    <xf numFmtId="0" fontId="8" fillId="8" borderId="75" xfId="0" applyFont="1" applyFill="1" applyBorder="1" applyAlignment="1" applyProtection="1">
      <alignment horizontal="left" vertical="center" wrapText="1"/>
    </xf>
    <xf numFmtId="4" fontId="16" fillId="31" borderId="19" xfId="0" applyNumberFormat="1" applyFont="1" applyFill="1" applyBorder="1" applyAlignment="1" applyProtection="1">
      <alignment horizontal="right" vertical="center"/>
    </xf>
    <xf numFmtId="3" fontId="16" fillId="8" borderId="24" xfId="0" applyNumberFormat="1" applyFont="1" applyFill="1" applyBorder="1" applyAlignment="1" applyProtection="1">
      <alignment horizontal="center" vertical="center" wrapText="1"/>
    </xf>
    <xf numFmtId="0" fontId="16" fillId="8" borderId="0" xfId="0" applyFont="1" applyFill="1" applyBorder="1" applyAlignment="1" applyProtection="1">
      <alignment vertical="center"/>
    </xf>
    <xf numFmtId="0" fontId="16" fillId="8" borderId="14" xfId="0" applyFont="1" applyFill="1" applyBorder="1" applyAlignment="1" applyProtection="1">
      <alignment horizontal="right" vertical="center"/>
    </xf>
    <xf numFmtId="44" fontId="18" fillId="8" borderId="73" xfId="1" applyFont="1" applyFill="1" applyBorder="1" applyAlignment="1" applyProtection="1">
      <alignment horizontal="center" vertical="center" wrapText="1"/>
    </xf>
    <xf numFmtId="0" fontId="18" fillId="30" borderId="22" xfId="0" applyFont="1" applyFill="1" applyBorder="1" applyAlignment="1" applyProtection="1">
      <alignment horizontal="center" vertical="center"/>
    </xf>
    <xf numFmtId="0" fontId="8" fillId="0" borderId="76" xfId="0" applyFont="1" applyFill="1" applyBorder="1" applyAlignment="1" applyProtection="1">
      <alignment horizontal="left" vertical="center" wrapText="1"/>
    </xf>
    <xf numFmtId="3" fontId="16" fillId="0" borderId="34" xfId="0" applyNumberFormat="1" applyFont="1" applyBorder="1" applyAlignment="1" applyProtection="1">
      <alignment horizontal="center" vertical="center"/>
    </xf>
    <xf numFmtId="1" fontId="16" fillId="0" borderId="11" xfId="0" applyNumberFormat="1" applyFont="1" applyBorder="1" applyAlignment="1" applyProtection="1">
      <alignment horizontal="center" vertical="center"/>
    </xf>
    <xf numFmtId="4" fontId="16" fillId="18" borderId="34" xfId="0" applyNumberFormat="1" applyFont="1" applyFill="1" applyBorder="1" applyAlignment="1" applyProtection="1">
      <alignment horizontal="center" vertical="center"/>
    </xf>
    <xf numFmtId="4" fontId="16" fillId="0" borderId="34" xfId="0" applyNumberFormat="1" applyFont="1" applyBorder="1" applyAlignment="1" applyProtection="1">
      <alignment horizontal="right" vertical="center"/>
    </xf>
    <xf numFmtId="0" fontId="16" fillId="0" borderId="22" xfId="0" applyFont="1" applyBorder="1" applyAlignment="1" applyProtection="1">
      <alignment horizontal="center" vertical="center"/>
    </xf>
    <xf numFmtId="0" fontId="8" fillId="0" borderId="35" xfId="0" applyFont="1" applyFill="1" applyBorder="1" applyAlignment="1" applyProtection="1">
      <alignment horizontal="left" vertical="center" wrapText="1"/>
    </xf>
    <xf numFmtId="4" fontId="16" fillId="0" borderId="58" xfId="0" applyNumberFormat="1" applyFont="1" applyBorder="1" applyAlignment="1" applyProtection="1">
      <alignment horizontal="right" vertical="center"/>
    </xf>
    <xf numFmtId="3" fontId="16" fillId="0" borderId="27" xfId="0" applyNumberFormat="1" applyFont="1" applyFill="1" applyBorder="1" applyAlignment="1" applyProtection="1">
      <alignment horizontal="center" vertical="center" wrapText="1"/>
    </xf>
    <xf numFmtId="0" fontId="16" fillId="0" borderId="0" xfId="0" applyFont="1" applyFill="1" applyBorder="1" applyAlignment="1" applyProtection="1">
      <alignment vertical="center"/>
    </xf>
    <xf numFmtId="0" fontId="16" fillId="0" borderId="14" xfId="0" applyFont="1" applyFill="1" applyBorder="1" applyAlignment="1" applyProtection="1">
      <alignment horizontal="right" vertical="center"/>
    </xf>
    <xf numFmtId="44" fontId="18" fillId="0" borderId="73" xfId="1" applyFont="1" applyFill="1" applyBorder="1" applyAlignment="1" applyProtection="1">
      <alignment horizontal="center" vertical="center" wrapText="1"/>
    </xf>
    <xf numFmtId="0" fontId="18" fillId="29" borderId="22" xfId="0" applyFont="1" applyFill="1" applyBorder="1" applyAlignment="1" applyProtection="1">
      <alignment horizontal="center" vertical="center"/>
    </xf>
    <xf numFmtId="0" fontId="8" fillId="31" borderId="35" xfId="0" applyFont="1" applyFill="1" applyBorder="1" applyAlignment="1" applyProtection="1">
      <alignment horizontal="left" vertical="center" wrapText="1"/>
    </xf>
    <xf numFmtId="3" fontId="16" fillId="8" borderId="34" xfId="0" applyNumberFormat="1" applyFont="1" applyFill="1" applyBorder="1" applyAlignment="1" applyProtection="1">
      <alignment horizontal="center" vertical="center"/>
    </xf>
    <xf numFmtId="1" fontId="16" fillId="8" borderId="22" xfId="0" applyNumberFormat="1" applyFont="1" applyFill="1" applyBorder="1" applyAlignment="1" applyProtection="1">
      <alignment horizontal="center" vertical="center"/>
    </xf>
    <xf numFmtId="0" fontId="16" fillId="0" borderId="0" xfId="0" applyFont="1" applyAlignment="1" applyProtection="1">
      <alignment horizontal="left" vertical="center" wrapText="1"/>
    </xf>
    <xf numFmtId="0" fontId="18" fillId="0" borderId="0" xfId="0" applyFont="1" applyBorder="1" applyAlignment="1" applyProtection="1">
      <alignment horizontal="right"/>
    </xf>
    <xf numFmtId="164" fontId="18" fillId="0" borderId="0" xfId="0" applyNumberFormat="1" applyFont="1" applyFill="1" applyBorder="1" applyAlignment="1" applyProtection="1">
      <alignment horizontal="right" vertical="center"/>
    </xf>
    <xf numFmtId="0" fontId="7" fillId="0" borderId="0" xfId="0" applyFont="1" applyAlignment="1" applyProtection="1">
      <alignment horizontal="center" vertical="center" wrapText="1"/>
    </xf>
    <xf numFmtId="0" fontId="18" fillId="18" borderId="10" xfId="0" applyFont="1" applyFill="1" applyBorder="1" applyAlignment="1" applyProtection="1">
      <alignment horizontal="center" vertical="center" wrapText="1"/>
    </xf>
    <xf numFmtId="0" fontId="7" fillId="0" borderId="0" xfId="0" applyFont="1" applyAlignment="1" applyProtection="1">
      <alignment horizontal="right"/>
    </xf>
    <xf numFmtId="0" fontId="6" fillId="0" borderId="0" xfId="0" applyFont="1" applyAlignment="1" applyProtection="1">
      <alignment horizontal="center" vertical="center" wrapText="1"/>
    </xf>
    <xf numFmtId="164" fontId="7" fillId="32" borderId="0" xfId="0" applyNumberFormat="1" applyFont="1" applyFill="1" applyBorder="1" applyAlignment="1" applyProtection="1">
      <alignment horizontal="right" vertical="center"/>
    </xf>
    <xf numFmtId="0" fontId="26" fillId="5" borderId="31" xfId="0" applyFont="1" applyFill="1" applyBorder="1" applyAlignment="1">
      <alignment horizontal="center" vertical="center" wrapText="1"/>
    </xf>
    <xf numFmtId="0" fontId="18" fillId="2" borderId="0" xfId="0" applyFont="1" applyFill="1" applyBorder="1" applyAlignment="1">
      <alignment horizontal="right" vertical="center" wrapText="1"/>
    </xf>
    <xf numFmtId="0" fontId="16" fillId="0" borderId="22" xfId="0" applyFont="1" applyBorder="1" applyAlignment="1">
      <alignment horizontal="center" vertical="center" wrapText="1"/>
    </xf>
    <xf numFmtId="0" fontId="16" fillId="0" borderId="20" xfId="0" applyFont="1" applyBorder="1" applyAlignment="1">
      <alignment horizontal="center" vertical="center" wrapText="1"/>
    </xf>
    <xf numFmtId="0" fontId="14" fillId="0" borderId="0" xfId="3" applyFont="1" applyAlignment="1" applyProtection="1">
      <alignment horizontal="left" vertical="center" wrapText="1"/>
    </xf>
    <xf numFmtId="0" fontId="14" fillId="0" borderId="77" xfId="0" applyFont="1" applyBorder="1" applyProtection="1"/>
    <xf numFmtId="3" fontId="21" fillId="2" borderId="27" xfId="0" applyNumberFormat="1" applyFont="1" applyFill="1" applyBorder="1" applyAlignment="1" applyProtection="1">
      <alignment horizontal="center" vertical="center"/>
    </xf>
    <xf numFmtId="3" fontId="21" fillId="7" borderId="27" xfId="0" applyNumberFormat="1" applyFont="1" applyFill="1" applyBorder="1" applyAlignment="1" applyProtection="1">
      <alignment horizontal="center" vertical="center"/>
    </xf>
    <xf numFmtId="0" fontId="26" fillId="2" borderId="0" xfId="0" applyFont="1" applyFill="1" applyBorder="1" applyAlignment="1" applyProtection="1">
      <alignment horizontal="right" vertical="center"/>
    </xf>
    <xf numFmtId="0" fontId="72" fillId="2" borderId="0" xfId="0" applyFont="1" applyFill="1" applyBorder="1" applyAlignment="1" applyProtection="1">
      <alignment horizontal="right" vertical="center"/>
    </xf>
    <xf numFmtId="0" fontId="14" fillId="0" borderId="0" xfId="0" applyFont="1" applyBorder="1" applyProtection="1"/>
    <xf numFmtId="4" fontId="78" fillId="0" borderId="0" xfId="0" applyNumberFormat="1" applyFont="1" applyBorder="1" applyAlignment="1" applyProtection="1">
      <alignment vertical="center"/>
    </xf>
    <xf numFmtId="0" fontId="78" fillId="0" borderId="0" xfId="0" applyFont="1" applyProtection="1"/>
    <xf numFmtId="0" fontId="13" fillId="10" borderId="0" xfId="3" applyFont="1" applyFill="1" applyBorder="1" applyAlignment="1" applyProtection="1">
      <alignment vertical="center" wrapText="1"/>
    </xf>
    <xf numFmtId="4" fontId="5" fillId="0" borderId="0" xfId="3" applyNumberFormat="1" applyFont="1" applyFill="1" applyBorder="1" applyAlignment="1" applyProtection="1">
      <alignment vertical="center"/>
    </xf>
    <xf numFmtId="0" fontId="5" fillId="0" borderId="0" xfId="3" applyFont="1" applyFill="1" applyAlignment="1" applyProtection="1">
      <alignment vertical="center"/>
    </xf>
    <xf numFmtId="0" fontId="5" fillId="0" borderId="0" xfId="3" applyFont="1" applyAlignment="1" applyProtection="1">
      <alignment vertical="center"/>
    </xf>
    <xf numFmtId="0" fontId="39" fillId="15" borderId="0" xfId="0" applyFont="1" applyFill="1" applyProtection="1"/>
    <xf numFmtId="0" fontId="81" fillId="0" borderId="0" xfId="0" applyFont="1" applyBorder="1" applyProtection="1"/>
    <xf numFmtId="0" fontId="82" fillId="0" borderId="0" xfId="0" applyFont="1" applyBorder="1" applyAlignment="1" applyProtection="1">
      <alignment horizontal="center" vertical="center" wrapText="1"/>
    </xf>
    <xf numFmtId="4" fontId="81" fillId="0" borderId="0" xfId="0" applyNumberFormat="1" applyFont="1" applyBorder="1" applyAlignment="1" applyProtection="1">
      <alignment vertical="center"/>
    </xf>
    <xf numFmtId="0" fontId="81" fillId="0" borderId="0" xfId="0" applyFont="1" applyProtection="1"/>
    <xf numFmtId="10" fontId="39" fillId="5" borderId="27" xfId="4" applyNumberFormat="1" applyFont="1" applyFill="1" applyBorder="1" applyAlignment="1" applyProtection="1">
      <alignment horizontal="center" vertical="center" wrapText="1"/>
    </xf>
    <xf numFmtId="0" fontId="70" fillId="10" borderId="27" xfId="0" applyFont="1" applyFill="1" applyBorder="1" applyAlignment="1" applyProtection="1">
      <alignment horizontal="center" vertical="center"/>
    </xf>
    <xf numFmtId="4" fontId="70" fillId="10" borderId="27" xfId="0" applyNumberFormat="1" applyFont="1" applyFill="1" applyBorder="1" applyAlignment="1" applyProtection="1">
      <alignment horizontal="left" vertical="center" wrapText="1"/>
    </xf>
    <xf numFmtId="2" fontId="39" fillId="10" borderId="27" xfId="0" applyNumberFormat="1" applyFont="1" applyFill="1" applyBorder="1" applyAlignment="1" applyProtection="1">
      <alignment horizontal="center" vertical="center"/>
    </xf>
    <xf numFmtId="4" fontId="39" fillId="9" borderId="27" xfId="0" applyNumberFormat="1" applyFont="1" applyFill="1" applyBorder="1" applyAlignment="1" applyProtection="1">
      <alignment horizontal="center" vertical="center"/>
    </xf>
    <xf numFmtId="4" fontId="41" fillId="60" borderId="27" xfId="0" applyNumberFormat="1" applyFont="1" applyFill="1" applyBorder="1" applyAlignment="1" applyProtection="1">
      <alignment horizontal="center" vertical="center"/>
    </xf>
    <xf numFmtId="0" fontId="0" fillId="0" borderId="0" xfId="0" applyBorder="1" applyProtection="1"/>
    <xf numFmtId="0" fontId="77" fillId="0" borderId="0" xfId="0" applyFont="1" applyBorder="1" applyAlignment="1" applyProtection="1">
      <alignment horizontal="center" vertical="center" wrapText="1"/>
    </xf>
    <xf numFmtId="0" fontId="78" fillId="0" borderId="0" xfId="0" applyFont="1" applyAlignment="1" applyProtection="1">
      <alignment horizontal="left" vertical="center"/>
    </xf>
    <xf numFmtId="0" fontId="70" fillId="10" borderId="3" xfId="0" applyFont="1" applyFill="1" applyBorder="1" applyAlignment="1" applyProtection="1">
      <alignment horizontal="center" vertical="center"/>
    </xf>
    <xf numFmtId="4" fontId="70" fillId="10" borderId="3" xfId="0" applyNumberFormat="1" applyFont="1" applyFill="1" applyBorder="1" applyAlignment="1" applyProtection="1">
      <alignment horizontal="left" vertical="center" wrapText="1"/>
    </xf>
    <xf numFmtId="4" fontId="39" fillId="9" borderId="3" xfId="0" applyNumberFormat="1" applyFont="1" applyFill="1" applyBorder="1" applyAlignment="1" applyProtection="1">
      <alignment horizontal="center" vertical="center"/>
    </xf>
    <xf numFmtId="4" fontId="41" fillId="0" borderId="3" xfId="0" applyNumberFormat="1" applyFont="1" applyFill="1" applyBorder="1" applyAlignment="1" applyProtection="1">
      <alignment horizontal="center" vertical="center"/>
    </xf>
    <xf numFmtId="2" fontId="39" fillId="10" borderId="0" xfId="0" applyNumberFormat="1" applyFont="1" applyFill="1" applyBorder="1" applyAlignment="1" applyProtection="1">
      <alignment horizontal="center" vertical="center"/>
    </xf>
    <xf numFmtId="4" fontId="39" fillId="9" borderId="0" xfId="0" applyNumberFormat="1" applyFont="1" applyFill="1" applyBorder="1" applyAlignment="1" applyProtection="1">
      <alignment horizontal="center" vertical="center"/>
    </xf>
    <xf numFmtId="4" fontId="41" fillId="0" borderId="0" xfId="0" applyNumberFormat="1" applyFont="1" applyFill="1" applyBorder="1" applyAlignment="1" applyProtection="1">
      <alignment horizontal="center" vertical="center"/>
    </xf>
    <xf numFmtId="0" fontId="70" fillId="10" borderId="27" xfId="0" applyFont="1" applyFill="1" applyBorder="1" applyAlignment="1" applyProtection="1">
      <alignment horizontal="left" vertical="center"/>
    </xf>
    <xf numFmtId="1" fontId="14" fillId="62" borderId="59" xfId="0" applyNumberFormat="1" applyFont="1" applyFill="1" applyBorder="1" applyAlignment="1" applyProtection="1">
      <alignment horizontal="center" vertical="center"/>
      <protection locked="0"/>
    </xf>
    <xf numFmtId="1" fontId="14" fillId="62" borderId="27" xfId="0" applyNumberFormat="1" applyFont="1" applyFill="1" applyBorder="1" applyAlignment="1" applyProtection="1">
      <alignment horizontal="center" vertical="center"/>
      <protection locked="0"/>
    </xf>
    <xf numFmtId="0" fontId="70" fillId="10" borderId="0" xfId="0" applyFont="1" applyFill="1" applyBorder="1" applyAlignment="1" applyProtection="1">
      <alignment horizontal="center" vertical="center"/>
    </xf>
    <xf numFmtId="4" fontId="70" fillId="10" borderId="0" xfId="0" applyNumberFormat="1" applyFont="1" applyFill="1" applyBorder="1" applyAlignment="1" applyProtection="1">
      <alignment horizontal="left" vertical="center" wrapText="1"/>
    </xf>
    <xf numFmtId="0" fontId="84" fillId="0" borderId="0" xfId="0" applyFont="1" applyProtection="1"/>
    <xf numFmtId="0" fontId="53" fillId="10" borderId="0" xfId="3" applyFont="1" applyFill="1" applyBorder="1" applyAlignment="1" applyProtection="1">
      <alignment horizontal="center" vertical="center" wrapText="1"/>
    </xf>
    <xf numFmtId="0" fontId="1" fillId="10" borderId="0" xfId="3" applyFont="1" applyFill="1" applyBorder="1" applyAlignment="1" applyProtection="1">
      <alignment vertical="center" wrapText="1"/>
    </xf>
    <xf numFmtId="0" fontId="80" fillId="10" borderId="0" xfId="3" applyFont="1" applyFill="1" applyBorder="1" applyAlignment="1" applyProtection="1">
      <alignment horizontal="right" vertical="center"/>
    </xf>
    <xf numFmtId="172" fontId="80" fillId="10" borderId="0" xfId="3" applyNumberFormat="1" applyFont="1" applyFill="1" applyBorder="1" applyAlignment="1" applyProtection="1">
      <alignment horizontal="center" vertical="center" wrapText="1"/>
    </xf>
    <xf numFmtId="0" fontId="21" fillId="10" borderId="0" xfId="0" applyFont="1" applyFill="1" applyBorder="1" applyProtection="1"/>
    <xf numFmtId="0" fontId="1" fillId="0" borderId="0" xfId="0" applyFont="1" applyProtection="1"/>
    <xf numFmtId="0" fontId="16" fillId="10" borderId="0" xfId="0" applyFont="1" applyFill="1" applyBorder="1" applyProtection="1"/>
    <xf numFmtId="0" fontId="18" fillId="2" borderId="0" xfId="0" applyFont="1" applyFill="1" applyBorder="1" applyProtection="1"/>
    <xf numFmtId="10" fontId="18" fillId="2" borderId="0" xfId="0" applyNumberFormat="1" applyFont="1" applyFill="1" applyBorder="1" applyAlignment="1" applyProtection="1">
      <alignment horizontal="right"/>
    </xf>
    <xf numFmtId="0" fontId="87" fillId="2" borderId="0" xfId="0" applyFont="1" applyFill="1" applyBorder="1" applyAlignment="1" applyProtection="1">
      <alignment horizontal="left" wrapText="1"/>
    </xf>
    <xf numFmtId="0" fontId="21" fillId="0" borderId="0" xfId="0" applyFont="1" applyProtection="1"/>
    <xf numFmtId="0" fontId="0" fillId="0" borderId="0" xfId="0" applyAlignment="1" applyProtection="1">
      <alignment horizontal="left" vertical="center"/>
    </xf>
    <xf numFmtId="0" fontId="0" fillId="0" borderId="0" xfId="0" applyAlignment="1" applyProtection="1">
      <alignment horizontal="left"/>
    </xf>
    <xf numFmtId="0" fontId="84" fillId="0" borderId="0" xfId="0" applyFont="1" applyAlignment="1" applyProtection="1">
      <alignment horizontal="left"/>
    </xf>
    <xf numFmtId="171" fontId="14" fillId="62" borderId="59" xfId="0" applyNumberFormat="1" applyFont="1" applyFill="1" applyBorder="1" applyAlignment="1" applyProtection="1">
      <alignment horizontal="center" vertical="center"/>
      <protection locked="0"/>
    </xf>
    <xf numFmtId="0" fontId="16" fillId="0" borderId="0" xfId="0" applyFont="1" applyBorder="1" applyAlignment="1">
      <alignment horizontal="center" vertical="center"/>
    </xf>
    <xf numFmtId="164" fontId="18" fillId="13" borderId="0" xfId="0" applyNumberFormat="1" applyFont="1" applyFill="1" applyBorder="1" applyAlignment="1">
      <alignment horizontal="center" vertical="center"/>
    </xf>
    <xf numFmtId="0" fontId="18" fillId="0" borderId="59" xfId="0" applyFont="1" applyBorder="1" applyAlignment="1">
      <alignment horizontal="center" vertical="center" wrapText="1"/>
    </xf>
    <xf numFmtId="0" fontId="16" fillId="0" borderId="96" xfId="0" applyFont="1" applyBorder="1" applyAlignment="1">
      <alignment horizontal="center" vertical="center"/>
    </xf>
    <xf numFmtId="164" fontId="18" fillId="6" borderId="88" xfId="0" applyNumberFormat="1" applyFont="1" applyFill="1" applyBorder="1" applyAlignment="1">
      <alignment horizontal="center" vertical="center"/>
    </xf>
    <xf numFmtId="168" fontId="8" fillId="10" borderId="27" xfId="0" applyNumberFormat="1" applyFont="1" applyFill="1" applyBorder="1" applyAlignment="1">
      <alignment horizontal="center" vertical="center"/>
    </xf>
    <xf numFmtId="1" fontId="8" fillId="4" borderId="59" xfId="0" applyNumberFormat="1" applyFont="1" applyFill="1" applyBorder="1" applyAlignment="1">
      <alignment horizontal="center" vertical="center"/>
    </xf>
    <xf numFmtId="164" fontId="8" fillId="10" borderId="3" xfId="0" applyNumberFormat="1" applyFont="1" applyFill="1" applyBorder="1" applyAlignment="1">
      <alignment horizontal="center" vertical="center"/>
    </xf>
    <xf numFmtId="2" fontId="8" fillId="10" borderId="3" xfId="0" applyNumberFormat="1" applyFont="1" applyFill="1" applyBorder="1" applyAlignment="1">
      <alignment horizontal="center" vertical="center"/>
    </xf>
    <xf numFmtId="4" fontId="18" fillId="25" borderId="3" xfId="0" applyNumberFormat="1" applyFont="1" applyFill="1" applyBorder="1" applyAlignment="1">
      <alignment horizontal="center" vertical="center"/>
    </xf>
    <xf numFmtId="164" fontId="8" fillId="10" borderId="8" xfId="0" applyNumberFormat="1" applyFont="1" applyFill="1" applyBorder="1" applyAlignment="1">
      <alignment horizontal="center" vertical="center"/>
    </xf>
    <xf numFmtId="2" fontId="8" fillId="10" borderId="8" xfId="0" applyNumberFormat="1" applyFont="1" applyFill="1" applyBorder="1" applyAlignment="1">
      <alignment horizontal="center" vertical="center"/>
    </xf>
    <xf numFmtId="4" fontId="18" fillId="25" borderId="8" xfId="0" applyNumberFormat="1" applyFont="1" applyFill="1" applyBorder="1" applyAlignment="1">
      <alignment horizontal="center" vertical="center"/>
    </xf>
    <xf numFmtId="164" fontId="78" fillId="0" borderId="0" xfId="0" applyNumberFormat="1" applyFont="1" applyAlignment="1" applyProtection="1">
      <alignment horizontal="left" vertical="center"/>
    </xf>
    <xf numFmtId="171" fontId="78" fillId="0" borderId="0" xfId="0" applyNumberFormat="1" applyFont="1" applyAlignment="1" applyProtection="1">
      <alignment horizontal="left" vertical="center"/>
    </xf>
    <xf numFmtId="0" fontId="13" fillId="10" borderId="0" xfId="3" applyFont="1" applyFill="1" applyBorder="1" applyAlignment="1" applyProtection="1">
      <alignment horizontal="center" vertical="center" wrapText="1"/>
    </xf>
    <xf numFmtId="0" fontId="0" fillId="0" borderId="0" xfId="0" applyAlignment="1" applyProtection="1">
      <alignment vertical="center"/>
    </xf>
    <xf numFmtId="0" fontId="26" fillId="2" borderId="0" xfId="0" applyFont="1" applyFill="1" applyBorder="1" applyAlignment="1" applyProtection="1">
      <alignment horizontal="right" vertical="top"/>
    </xf>
    <xf numFmtId="0" fontId="15" fillId="35" borderId="11" xfId="0" applyFont="1" applyFill="1" applyBorder="1" applyAlignment="1" applyProtection="1">
      <alignment horizontal="center" vertical="center" wrapText="1"/>
    </xf>
    <xf numFmtId="0" fontId="15" fillId="34" borderId="11" xfId="0" applyFont="1" applyFill="1" applyBorder="1" applyAlignment="1" applyProtection="1">
      <alignment horizontal="center" vertical="center" wrapText="1"/>
    </xf>
    <xf numFmtId="4" fontId="74" fillId="13" borderId="14" xfId="0" applyNumberFormat="1" applyFont="1" applyFill="1" applyBorder="1" applyAlignment="1" applyProtection="1">
      <alignment horizontal="center" vertical="center" wrapText="1"/>
    </xf>
    <xf numFmtId="44" fontId="8" fillId="0" borderId="60" xfId="0" applyNumberFormat="1" applyFont="1" applyBorder="1" applyAlignment="1">
      <alignment vertical="center"/>
    </xf>
    <xf numFmtId="0" fontId="8" fillId="0" borderId="8" xfId="0" applyFont="1" applyBorder="1" applyAlignment="1">
      <alignment horizontal="center" vertical="center"/>
    </xf>
    <xf numFmtId="0" fontId="21" fillId="2" borderId="17" xfId="0" applyFont="1" applyFill="1" applyBorder="1" applyAlignment="1">
      <alignment horizontal="center" vertical="center"/>
    </xf>
    <xf numFmtId="0" fontId="21" fillId="2" borderId="17" xfId="0" applyFont="1" applyFill="1" applyBorder="1" applyAlignment="1">
      <alignment horizontal="left" vertical="center" wrapText="1"/>
    </xf>
    <xf numFmtId="0" fontId="16" fillId="0" borderId="17" xfId="0" applyFont="1" applyBorder="1" applyAlignment="1">
      <alignment horizontal="center" vertical="center" wrapText="1"/>
    </xf>
    <xf numFmtId="44" fontId="14" fillId="2" borderId="17" xfId="0" applyNumberFormat="1" applyFont="1" applyFill="1" applyBorder="1" applyAlignment="1">
      <alignment horizontal="center" vertical="center"/>
    </xf>
    <xf numFmtId="0" fontId="21" fillId="2" borderId="14" xfId="0" applyFont="1" applyFill="1" applyBorder="1" applyAlignment="1">
      <alignment horizontal="center" vertical="center"/>
    </xf>
    <xf numFmtId="0" fontId="21" fillId="2" borderId="14" xfId="0" applyFont="1" applyFill="1" applyBorder="1" applyAlignment="1">
      <alignment horizontal="left" vertical="center" wrapText="1"/>
    </xf>
    <xf numFmtId="0" fontId="16" fillId="0" borderId="14" xfId="0" applyFont="1" applyBorder="1" applyAlignment="1">
      <alignment horizontal="center" vertical="center" wrapText="1"/>
    </xf>
    <xf numFmtId="14" fontId="16" fillId="0" borderId="8" xfId="0" applyNumberFormat="1" applyFont="1" applyBorder="1" applyAlignment="1">
      <alignment horizontal="center" vertical="center" wrapText="1"/>
    </xf>
    <xf numFmtId="3" fontId="16" fillId="2" borderId="8" xfId="0" applyNumberFormat="1" applyFont="1" applyFill="1" applyBorder="1" applyAlignment="1">
      <alignment horizontal="center" vertical="center"/>
    </xf>
    <xf numFmtId="44" fontId="8" fillId="0" borderId="8" xfId="0" applyNumberFormat="1" applyFont="1" applyBorder="1" applyAlignment="1">
      <alignment vertical="center"/>
    </xf>
    <xf numFmtId="14" fontId="16" fillId="0" borderId="2" xfId="0" applyNumberFormat="1" applyFont="1" applyBorder="1" applyAlignment="1">
      <alignment horizontal="center" vertical="center" wrapText="1"/>
    </xf>
    <xf numFmtId="14" fontId="16" fillId="0" borderId="3" xfId="0" applyNumberFormat="1" applyFont="1" applyBorder="1" applyAlignment="1">
      <alignment horizontal="center" vertical="center" wrapText="1"/>
    </xf>
    <xf numFmtId="3" fontId="16" fillId="2" borderId="3" xfId="0" applyNumberFormat="1" applyFont="1" applyFill="1" applyBorder="1" applyAlignment="1">
      <alignment horizontal="center" vertical="center"/>
    </xf>
    <xf numFmtId="0" fontId="8" fillId="0" borderId="3" xfId="0" applyFont="1" applyBorder="1" applyAlignment="1">
      <alignment horizontal="center" vertical="center"/>
    </xf>
    <xf numFmtId="44" fontId="8" fillId="0" borderId="3" xfId="0" applyNumberFormat="1" applyFont="1" applyBorder="1" applyAlignment="1">
      <alignment vertical="center"/>
    </xf>
    <xf numFmtId="44" fontId="10" fillId="0" borderId="27" xfId="0" applyNumberFormat="1" applyFont="1" applyBorder="1" applyAlignment="1">
      <alignment vertical="center"/>
    </xf>
    <xf numFmtId="0" fontId="14" fillId="0" borderId="99" xfId="0" applyFont="1" applyBorder="1" applyProtection="1"/>
    <xf numFmtId="0" fontId="15" fillId="35" borderId="13" xfId="0" applyFont="1" applyFill="1" applyBorder="1" applyAlignment="1" applyProtection="1">
      <alignment horizontal="center" vertical="center" wrapText="1"/>
    </xf>
    <xf numFmtId="0" fontId="15" fillId="35" borderId="100" xfId="0" applyFont="1" applyFill="1" applyBorder="1" applyAlignment="1" applyProtection="1">
      <alignment horizontal="center" vertical="center" wrapText="1"/>
    </xf>
    <xf numFmtId="0" fontId="15" fillId="35" borderId="90" xfId="0" applyFont="1" applyFill="1" applyBorder="1" applyAlignment="1" applyProtection="1">
      <alignment horizontal="center" vertical="center" wrapText="1"/>
    </xf>
    <xf numFmtId="4" fontId="21" fillId="13" borderId="27" xfId="0" applyNumberFormat="1" applyFont="1" applyFill="1" applyBorder="1" applyAlignment="1" applyProtection="1">
      <alignment horizontal="center" vertical="center" wrapText="1"/>
    </xf>
    <xf numFmtId="4" fontId="40" fillId="9" borderId="27" xfId="0" applyNumberFormat="1" applyFont="1" applyFill="1" applyBorder="1" applyAlignment="1" applyProtection="1">
      <alignment horizontal="center" vertical="center"/>
    </xf>
    <xf numFmtId="4" fontId="21" fillId="13" borderId="3" xfId="0" applyNumberFormat="1" applyFont="1" applyFill="1" applyBorder="1" applyAlignment="1" applyProtection="1">
      <alignment horizontal="center" vertical="center" wrapText="1"/>
    </xf>
    <xf numFmtId="4" fontId="26" fillId="9" borderId="101" xfId="0" applyNumberFormat="1" applyFont="1" applyFill="1" applyBorder="1" applyAlignment="1" applyProtection="1">
      <alignment horizontal="center" vertical="center"/>
    </xf>
    <xf numFmtId="4" fontId="21" fillId="13" borderId="14" xfId="0" applyNumberFormat="1" applyFont="1" applyFill="1" applyBorder="1" applyAlignment="1" applyProtection="1">
      <alignment horizontal="center" vertical="center" wrapText="1"/>
    </xf>
    <xf numFmtId="0" fontId="15" fillId="35" borderId="102" xfId="0" applyFont="1" applyFill="1" applyBorder="1" applyAlignment="1" applyProtection="1">
      <alignment horizontal="center" vertical="center" wrapText="1"/>
    </xf>
    <xf numFmtId="0" fontId="0" fillId="0" borderId="23" xfId="0" applyBorder="1" applyProtection="1"/>
    <xf numFmtId="4" fontId="21" fillId="50" borderId="24" xfId="0" applyNumberFormat="1" applyFont="1" applyFill="1" applyBorder="1" applyAlignment="1" applyProtection="1">
      <alignment horizontal="center" vertical="center" wrapText="1"/>
    </xf>
    <xf numFmtId="0" fontId="13" fillId="10" borderId="27" xfId="3" applyFont="1" applyFill="1" applyBorder="1" applyAlignment="1" applyProtection="1">
      <alignment horizontal="center" vertical="center"/>
    </xf>
    <xf numFmtId="0" fontId="14" fillId="0" borderId="58" xfId="3" applyFont="1" applyFill="1" applyBorder="1" applyAlignment="1" applyProtection="1">
      <alignment horizontal="center" vertical="center"/>
    </xf>
    <xf numFmtId="0" fontId="13" fillId="0" borderId="27" xfId="0" applyFont="1" applyBorder="1" applyAlignment="1" applyProtection="1">
      <alignment horizontal="center" vertical="center"/>
    </xf>
    <xf numFmtId="10" fontId="14" fillId="38" borderId="27" xfId="3" applyNumberFormat="1" applyFont="1" applyFill="1" applyBorder="1" applyAlignment="1" applyProtection="1">
      <alignment horizontal="center" vertical="center"/>
    </xf>
    <xf numFmtId="10" fontId="14" fillId="0" borderId="58" xfId="3" applyNumberFormat="1" applyFont="1" applyFill="1" applyBorder="1" applyAlignment="1" applyProtection="1">
      <alignment horizontal="center" vertical="center"/>
    </xf>
    <xf numFmtId="1" fontId="14" fillId="14" borderId="27" xfId="0" applyNumberFormat="1" applyFont="1" applyFill="1" applyBorder="1" applyAlignment="1" applyProtection="1">
      <alignment horizontal="center" vertical="center"/>
    </xf>
    <xf numFmtId="0" fontId="14" fillId="0" borderId="0" xfId="3" applyFont="1" applyAlignment="1" applyProtection="1">
      <alignment horizontal="center" vertical="center" wrapText="1"/>
    </xf>
    <xf numFmtId="3" fontId="21" fillId="40" borderId="11" xfId="0" applyNumberFormat="1" applyFont="1" applyFill="1" applyBorder="1" applyAlignment="1" applyProtection="1">
      <alignment horizontal="center" vertical="center"/>
    </xf>
    <xf numFmtId="3" fontId="21" fillId="41" borderId="11" xfId="0" applyNumberFormat="1" applyFont="1" applyFill="1" applyBorder="1" applyAlignment="1" applyProtection="1">
      <alignment horizontal="center" vertical="center"/>
    </xf>
    <xf numFmtId="3" fontId="21" fillId="42" borderId="11" xfId="0" applyNumberFormat="1" applyFont="1" applyFill="1" applyBorder="1" applyAlignment="1" applyProtection="1">
      <alignment horizontal="center" vertical="center"/>
    </xf>
    <xf numFmtId="10" fontId="14" fillId="64" borderId="27" xfId="3" applyNumberFormat="1" applyFont="1" applyFill="1" applyBorder="1" applyAlignment="1" applyProtection="1">
      <alignment horizontal="center" vertical="center"/>
    </xf>
    <xf numFmtId="2" fontId="21" fillId="2" borderId="11" xfId="0" applyNumberFormat="1" applyFont="1" applyFill="1" applyBorder="1" applyAlignment="1" applyProtection="1">
      <alignment horizontal="center" vertical="center"/>
    </xf>
    <xf numFmtId="2" fontId="21" fillId="7" borderId="11" xfId="0" applyNumberFormat="1" applyFont="1" applyFill="1" applyBorder="1" applyAlignment="1" applyProtection="1">
      <alignment horizontal="center" vertical="center"/>
    </xf>
    <xf numFmtId="2" fontId="21" fillId="12" borderId="98" xfId="0" applyNumberFormat="1" applyFont="1" applyFill="1" applyBorder="1" applyAlignment="1" applyProtection="1">
      <alignment horizontal="center" vertical="center"/>
    </xf>
    <xf numFmtId="2" fontId="21" fillId="12" borderId="97" xfId="0" applyNumberFormat="1" applyFont="1" applyFill="1" applyBorder="1" applyAlignment="1" applyProtection="1">
      <alignment horizontal="center" vertical="center"/>
    </xf>
    <xf numFmtId="0" fontId="12" fillId="0" borderId="0" xfId="0" applyFont="1" applyAlignment="1" applyProtection="1"/>
    <xf numFmtId="0" fontId="0" fillId="0" borderId="103" xfId="0" applyBorder="1" applyProtection="1"/>
    <xf numFmtId="0" fontId="13" fillId="10" borderId="0" xfId="0" applyFont="1" applyFill="1" applyBorder="1" applyAlignment="1" applyProtection="1">
      <alignment horizontal="center" vertical="center"/>
    </xf>
    <xf numFmtId="0" fontId="14" fillId="0" borderId="104" xfId="0" applyFont="1" applyBorder="1" applyAlignment="1" applyProtection="1"/>
    <xf numFmtId="0" fontId="14" fillId="0" borderId="0" xfId="0" applyFont="1" applyBorder="1" applyAlignment="1" applyProtection="1"/>
    <xf numFmtId="0" fontId="14" fillId="0" borderId="0" xfId="0" applyFont="1" applyBorder="1" applyAlignment="1" applyProtection="1">
      <alignment horizontal="left"/>
    </xf>
    <xf numFmtId="10" fontId="15" fillId="39" borderId="27" xfId="0" applyNumberFormat="1" applyFont="1" applyFill="1" applyBorder="1" applyAlignment="1" applyProtection="1">
      <alignment horizontal="center" vertical="center"/>
    </xf>
    <xf numFmtId="2" fontId="15" fillId="39" borderId="27" xfId="0" applyNumberFormat="1" applyFont="1" applyFill="1" applyBorder="1" applyAlignment="1" applyProtection="1">
      <alignment horizontal="center" vertical="center"/>
    </xf>
    <xf numFmtId="0" fontId="14" fillId="10" borderId="0" xfId="3" applyFont="1" applyFill="1" applyBorder="1" applyAlignment="1" applyProtection="1">
      <alignment horizontal="center" vertical="center"/>
    </xf>
    <xf numFmtId="9" fontId="14" fillId="10" borderId="0" xfId="0" applyNumberFormat="1" applyFont="1" applyFill="1" applyBorder="1" applyAlignment="1" applyProtection="1">
      <alignment horizontal="center" vertical="center"/>
    </xf>
    <xf numFmtId="2" fontId="14" fillId="10" borderId="0" xfId="0" applyNumberFormat="1" applyFont="1" applyFill="1" applyBorder="1" applyAlignment="1" applyProtection="1">
      <alignment horizontal="center" vertical="center"/>
    </xf>
    <xf numFmtId="10" fontId="14" fillId="10" borderId="0" xfId="3" applyNumberFormat="1" applyFont="1" applyFill="1" applyBorder="1" applyAlignment="1" applyProtection="1">
      <alignment horizontal="center" vertical="center"/>
    </xf>
    <xf numFmtId="1" fontId="14" fillId="10" borderId="0" xfId="0" applyNumberFormat="1" applyFont="1" applyFill="1" applyBorder="1" applyAlignment="1" applyProtection="1">
      <alignment horizontal="center" vertical="center"/>
    </xf>
    <xf numFmtId="0" fontId="0" fillId="10" borderId="0" xfId="0" applyFill="1" applyBorder="1" applyProtection="1"/>
    <xf numFmtId="0" fontId="11" fillId="10" borderId="26" xfId="3" applyFont="1" applyFill="1" applyBorder="1" applyAlignment="1" applyProtection="1"/>
    <xf numFmtId="0" fontId="14" fillId="10" borderId="26" xfId="3" applyFont="1" applyFill="1" applyBorder="1" applyAlignment="1" applyProtection="1">
      <alignment vertical="center"/>
    </xf>
    <xf numFmtId="0" fontId="75" fillId="65" borderId="34" xfId="3" applyFont="1" applyFill="1" applyBorder="1" applyAlignment="1" applyProtection="1">
      <alignment horizontal="center" vertical="center" wrapText="1"/>
    </xf>
    <xf numFmtId="0" fontId="0" fillId="0" borderId="0" xfId="0" applyBorder="1" applyAlignment="1" applyProtection="1"/>
    <xf numFmtId="0" fontId="14" fillId="10" borderId="27" xfId="3" applyFont="1" applyFill="1" applyBorder="1" applyAlignment="1" applyProtection="1">
      <alignment horizontal="center" vertical="center" wrapText="1"/>
    </xf>
    <xf numFmtId="171" fontId="15" fillId="39" borderId="27" xfId="0" applyNumberFormat="1" applyFont="1" applyFill="1" applyBorder="1" applyAlignment="1" applyProtection="1">
      <alignment horizontal="center" vertical="center"/>
    </xf>
    <xf numFmtId="2" fontId="14" fillId="10" borderId="27" xfId="3" applyNumberFormat="1" applyFont="1" applyFill="1" applyBorder="1" applyAlignment="1" applyProtection="1">
      <alignment horizontal="center" vertical="center"/>
    </xf>
    <xf numFmtId="171" fontId="14" fillId="10" borderId="27" xfId="3" applyNumberFormat="1" applyFont="1" applyFill="1" applyBorder="1" applyAlignment="1" applyProtection="1">
      <alignment horizontal="center" vertical="center"/>
    </xf>
    <xf numFmtId="0" fontId="14" fillId="8" borderId="27" xfId="3" applyFont="1" applyFill="1" applyBorder="1" applyAlignment="1" applyProtection="1">
      <alignment horizontal="center" vertical="center" wrapText="1"/>
    </xf>
    <xf numFmtId="171" fontId="15" fillId="46" borderId="27" xfId="0" applyNumberFormat="1" applyFont="1" applyFill="1" applyBorder="1" applyAlignment="1" applyProtection="1">
      <alignment horizontal="center" vertical="center"/>
    </xf>
    <xf numFmtId="2" fontId="14" fillId="8" borderId="27" xfId="3" applyNumberFormat="1" applyFont="1" applyFill="1" applyBorder="1" applyAlignment="1" applyProtection="1">
      <alignment horizontal="center" vertical="center"/>
    </xf>
    <xf numFmtId="171" fontId="14" fillId="8" borderId="27" xfId="3" applyNumberFormat="1" applyFont="1" applyFill="1" applyBorder="1" applyAlignment="1" applyProtection="1">
      <alignment horizontal="center" vertical="center"/>
    </xf>
    <xf numFmtId="0" fontId="91" fillId="0" borderId="0" xfId="3" applyFont="1" applyAlignment="1" applyProtection="1">
      <alignment horizontal="right"/>
    </xf>
    <xf numFmtId="171" fontId="14" fillId="0" borderId="27" xfId="0" applyNumberFormat="1" applyFont="1" applyBorder="1" applyAlignment="1" applyProtection="1">
      <alignment vertical="center"/>
    </xf>
    <xf numFmtId="171" fontId="14" fillId="0" borderId="0" xfId="0" applyNumberFormat="1" applyFont="1" applyProtection="1"/>
    <xf numFmtId="2" fontId="14" fillId="0" borderId="27" xfId="0" applyNumberFormat="1" applyFont="1" applyBorder="1" applyAlignment="1" applyProtection="1">
      <alignment horizontal="center" vertical="center"/>
    </xf>
    <xf numFmtId="171" fontId="92" fillId="14" borderId="27" xfId="5" applyNumberFormat="1" applyFont="1" applyFill="1" applyBorder="1" applyAlignment="1" applyProtection="1">
      <alignment horizontal="right" vertical="center" indent="1"/>
    </xf>
    <xf numFmtId="0" fontId="14" fillId="0" borderId="0" xfId="0" applyFont="1" applyAlignment="1" applyProtection="1">
      <alignment horizontal="left" vertical="center"/>
    </xf>
    <xf numFmtId="0" fontId="5" fillId="0" borderId="0" xfId="0" applyFont="1" applyAlignment="1" applyProtection="1">
      <alignment horizontal="left" vertical="center"/>
    </xf>
    <xf numFmtId="0" fontId="5" fillId="0" borderId="4" xfId="0" applyFont="1" applyBorder="1" applyAlignment="1" applyProtection="1">
      <alignment horizontal="left" vertical="center"/>
    </xf>
    <xf numFmtId="0" fontId="14" fillId="10" borderId="0" xfId="3" applyFont="1" applyFill="1" applyBorder="1" applyAlignment="1" applyProtection="1">
      <alignment horizontal="justify" vertical="center" wrapText="1"/>
    </xf>
    <xf numFmtId="0" fontId="14" fillId="10" borderId="0" xfId="3" applyFont="1" applyFill="1" applyBorder="1" applyAlignment="1" applyProtection="1">
      <alignment horizontal="center" vertical="center" wrapText="1"/>
    </xf>
    <xf numFmtId="171" fontId="14" fillId="0" borderId="0" xfId="0" applyNumberFormat="1" applyFont="1" applyBorder="1" applyAlignment="1" applyProtection="1">
      <alignment horizontal="center" vertical="center"/>
    </xf>
    <xf numFmtId="171" fontId="14" fillId="0" borderId="0" xfId="5" applyNumberFormat="1" applyFont="1" applyFill="1" applyBorder="1" applyAlignment="1" applyProtection="1">
      <alignment horizontal="right" vertical="center" indent="1"/>
    </xf>
    <xf numFmtId="171" fontId="94" fillId="38" borderId="73" xfId="5" applyNumberFormat="1" applyFont="1" applyFill="1" applyBorder="1" applyAlignment="1" applyProtection="1">
      <alignment horizontal="right" vertical="center" indent="1"/>
    </xf>
    <xf numFmtId="0" fontId="14" fillId="0" borderId="0" xfId="3" applyFont="1" applyAlignment="1" applyProtection="1">
      <alignment horizontal="center" vertical="top" wrapText="1"/>
    </xf>
    <xf numFmtId="0" fontId="14" fillId="0" borderId="0" xfId="3" applyFont="1" applyAlignment="1" applyProtection="1">
      <alignment vertical="top" wrapText="1"/>
    </xf>
    <xf numFmtId="0" fontId="14" fillId="0" borderId="0" xfId="3" applyFont="1" applyAlignment="1" applyProtection="1">
      <alignment vertical="center" wrapText="1"/>
    </xf>
    <xf numFmtId="0" fontId="14" fillId="0" borderId="0" xfId="3" applyFont="1" applyAlignment="1" applyProtection="1">
      <alignment vertical="top"/>
    </xf>
    <xf numFmtId="0" fontId="0" fillId="0" borderId="0" xfId="0" applyAlignment="1" applyProtection="1">
      <alignment vertical="top"/>
    </xf>
    <xf numFmtId="4" fontId="72" fillId="0" borderId="0" xfId="0" applyNumberFormat="1" applyFont="1" applyFill="1" applyBorder="1" applyAlignment="1" applyProtection="1">
      <alignment horizontal="center" vertical="center"/>
    </xf>
    <xf numFmtId="0" fontId="15" fillId="34" borderId="24" xfId="0" applyFont="1" applyFill="1" applyBorder="1" applyAlignment="1" applyProtection="1">
      <alignment horizontal="center" vertical="center" wrapText="1"/>
    </xf>
    <xf numFmtId="0" fontId="15" fillId="35" borderId="24" xfId="0" applyFont="1" applyFill="1" applyBorder="1" applyAlignment="1" applyProtection="1">
      <alignment horizontal="center" vertical="center" wrapText="1"/>
    </xf>
    <xf numFmtId="0" fontId="26" fillId="2" borderId="106" xfId="0" applyFont="1" applyFill="1" applyBorder="1" applyAlignment="1" applyProtection="1">
      <alignment vertical="center"/>
    </xf>
    <xf numFmtId="0" fontId="26" fillId="2" borderId="106" xfId="0" applyFont="1" applyFill="1" applyBorder="1" applyAlignment="1" applyProtection="1">
      <alignment horizontal="center" vertical="center"/>
    </xf>
    <xf numFmtId="0" fontId="15" fillId="0" borderId="11" xfId="0" applyFont="1" applyBorder="1" applyAlignment="1" applyProtection="1">
      <alignment horizontal="center" vertical="center" wrapText="1"/>
    </xf>
    <xf numFmtId="0" fontId="21" fillId="0" borderId="11" xfId="0" applyFont="1" applyBorder="1" applyAlignment="1" applyProtection="1">
      <alignment horizontal="left" vertical="center" wrapText="1"/>
    </xf>
    <xf numFmtId="0" fontId="21" fillId="0" borderId="11" xfId="0" applyFont="1" applyBorder="1" applyAlignment="1" applyProtection="1">
      <alignment horizontal="center" vertical="center" wrapText="1"/>
    </xf>
    <xf numFmtId="0" fontId="21" fillId="36" borderId="11" xfId="0" applyFont="1" applyFill="1" applyBorder="1" applyAlignment="1" applyProtection="1">
      <alignment horizontal="center" vertical="center" wrapText="1"/>
    </xf>
    <xf numFmtId="0" fontId="21" fillId="37" borderId="11" xfId="0" applyFont="1" applyFill="1" applyBorder="1" applyAlignment="1" applyProtection="1">
      <alignment horizontal="center" vertical="center" wrapText="1"/>
    </xf>
    <xf numFmtId="0" fontId="21" fillId="38" borderId="11" xfId="0" applyFont="1" applyFill="1" applyBorder="1" applyAlignment="1" applyProtection="1">
      <alignment horizontal="center" vertical="center" wrapText="1"/>
    </xf>
    <xf numFmtId="2" fontId="21" fillId="12" borderId="11" xfId="0" applyNumberFormat="1" applyFont="1" applyFill="1" applyBorder="1" applyAlignment="1" applyProtection="1">
      <alignment horizontal="center" vertical="center"/>
    </xf>
    <xf numFmtId="2" fontId="21" fillId="12" borderId="107" xfId="0" applyNumberFormat="1" applyFont="1" applyFill="1" applyBorder="1" applyAlignment="1" applyProtection="1">
      <alignment horizontal="center" vertical="center"/>
    </xf>
    <xf numFmtId="0" fontId="11" fillId="2" borderId="99" xfId="0" applyFont="1" applyFill="1" applyBorder="1" applyAlignment="1" applyProtection="1"/>
    <xf numFmtId="0" fontId="53" fillId="0" borderId="99" xfId="0" applyFont="1" applyBorder="1" applyAlignment="1" applyProtection="1"/>
    <xf numFmtId="0" fontId="26" fillId="2" borderId="99" xfId="0" applyFont="1" applyFill="1" applyBorder="1" applyAlignment="1" applyProtection="1"/>
    <xf numFmtId="0" fontId="14" fillId="0" borderId="99" xfId="0" applyFont="1" applyBorder="1" applyAlignment="1" applyProtection="1"/>
    <xf numFmtId="4" fontId="16" fillId="0" borderId="99" xfId="0" applyNumberFormat="1" applyFont="1" applyBorder="1" applyAlignment="1" applyProtection="1">
      <alignment horizontal="center" vertical="center"/>
    </xf>
    <xf numFmtId="0" fontId="26" fillId="2" borderId="99" xfId="0" applyFont="1" applyFill="1" applyBorder="1" applyAlignment="1" applyProtection="1">
      <alignment horizontal="center"/>
    </xf>
    <xf numFmtId="0" fontId="55" fillId="2" borderId="99" xfId="0" applyFont="1" applyFill="1" applyBorder="1" applyAlignment="1" applyProtection="1"/>
    <xf numFmtId="164" fontId="21" fillId="0" borderId="0" xfId="0" applyNumberFormat="1" applyFont="1" applyBorder="1" applyAlignment="1">
      <alignment horizontal="center" vertical="center" wrapText="1"/>
    </xf>
    <xf numFmtId="0" fontId="40" fillId="2" borderId="111" xfId="0" applyFont="1" applyFill="1" applyBorder="1"/>
    <xf numFmtId="0" fontId="21" fillId="5" borderId="17" xfId="0" applyFont="1" applyFill="1" applyBorder="1" applyAlignment="1">
      <alignment horizontal="center" vertical="center" wrapText="1"/>
    </xf>
    <xf numFmtId="164" fontId="15" fillId="0" borderId="0" xfId="0" applyNumberFormat="1" applyFont="1" applyBorder="1" applyAlignment="1">
      <alignment horizontal="center" vertical="center" wrapText="1"/>
    </xf>
    <xf numFmtId="44" fontId="15" fillId="0" borderId="110" xfId="0" applyNumberFormat="1" applyFont="1" applyBorder="1" applyAlignment="1">
      <alignment horizontal="center" vertical="center" wrapText="1"/>
    </xf>
    <xf numFmtId="4" fontId="21" fillId="38" borderId="11" xfId="0" applyNumberFormat="1" applyFont="1" applyFill="1" applyBorder="1" applyAlignment="1">
      <alignment horizontal="center" vertical="center"/>
    </xf>
    <xf numFmtId="4" fontId="21" fillId="38" borderId="10" xfId="0" applyNumberFormat="1" applyFont="1" applyFill="1" applyBorder="1" applyAlignment="1">
      <alignment horizontal="center" vertical="center"/>
    </xf>
    <xf numFmtId="4" fontId="21" fillId="67" borderId="11" xfId="0" applyNumberFormat="1" applyFont="1" applyFill="1" applyBorder="1" applyAlignment="1">
      <alignment horizontal="center" vertical="center"/>
    </xf>
    <xf numFmtId="4" fontId="21" fillId="67" borderId="22" xfId="0" applyNumberFormat="1" applyFont="1" applyFill="1" applyBorder="1" applyAlignment="1">
      <alignment horizontal="center" vertical="center"/>
    </xf>
    <xf numFmtId="4" fontId="21" fillId="67" borderId="16" xfId="0" applyNumberFormat="1" applyFont="1" applyFill="1" applyBorder="1" applyAlignment="1">
      <alignment horizontal="center" vertical="center"/>
    </xf>
    <xf numFmtId="4" fontId="21" fillId="67" borderId="10" xfId="0" applyNumberFormat="1" applyFont="1" applyFill="1" applyBorder="1" applyAlignment="1">
      <alignment horizontal="center" vertical="center"/>
    </xf>
    <xf numFmtId="4" fontId="21" fillId="38" borderId="22" xfId="0" applyNumberFormat="1" applyFont="1" applyFill="1" applyBorder="1" applyAlignment="1">
      <alignment horizontal="center" vertical="center" wrapText="1"/>
    </xf>
    <xf numFmtId="4" fontId="39" fillId="38" borderId="22" xfId="0" applyNumberFormat="1" applyFont="1" applyFill="1" applyBorder="1" applyAlignment="1">
      <alignment horizontal="center" vertical="center" wrapText="1"/>
    </xf>
    <xf numFmtId="171" fontId="15" fillId="0" borderId="110" xfId="0" applyNumberFormat="1" applyFont="1" applyBorder="1" applyAlignment="1">
      <alignment horizontal="center" vertical="center" wrapText="1"/>
    </xf>
    <xf numFmtId="171" fontId="15" fillId="38" borderId="17" xfId="0" applyNumberFormat="1" applyFont="1" applyFill="1" applyBorder="1" applyAlignment="1">
      <alignment horizontal="center" vertical="center"/>
    </xf>
    <xf numFmtId="171" fontId="15" fillId="38" borderId="20" xfId="0" applyNumberFormat="1" applyFont="1" applyFill="1" applyBorder="1" applyAlignment="1">
      <alignment horizontal="center" vertical="center"/>
    </xf>
    <xf numFmtId="44" fontId="10" fillId="0" borderId="0" xfId="0" applyNumberFormat="1" applyFont="1" applyFill="1" applyBorder="1" applyAlignment="1">
      <alignment vertical="center"/>
    </xf>
    <xf numFmtId="0" fontId="10" fillId="0" borderId="0" xfId="0" applyFont="1" applyFill="1" applyBorder="1" applyAlignment="1">
      <alignment vertical="center"/>
    </xf>
    <xf numFmtId="0" fontId="18" fillId="0" borderId="22" xfId="0" applyFont="1" applyBorder="1" applyAlignment="1" applyProtection="1">
      <alignment horizontal="center" vertical="center"/>
    </xf>
    <xf numFmtId="0" fontId="18" fillId="11" borderId="22" xfId="0" applyFont="1" applyFill="1" applyBorder="1" applyAlignment="1" applyProtection="1">
      <alignment horizontal="center" vertical="center"/>
    </xf>
    <xf numFmtId="0" fontId="10" fillId="28" borderId="34" xfId="0" applyFont="1" applyFill="1" applyBorder="1" applyAlignment="1" applyProtection="1">
      <alignment horizontal="center" vertical="center" wrapText="1"/>
    </xf>
    <xf numFmtId="0" fontId="18" fillId="28" borderId="34" xfId="0" applyFont="1" applyFill="1" applyBorder="1" applyAlignment="1" applyProtection="1">
      <alignment horizontal="center" vertical="center" wrapText="1"/>
    </xf>
    <xf numFmtId="0" fontId="18" fillId="28" borderId="58" xfId="0" applyFont="1" applyFill="1" applyBorder="1" applyAlignment="1" applyProtection="1">
      <alignment horizontal="center" vertical="center" wrapText="1"/>
    </xf>
    <xf numFmtId="0" fontId="52" fillId="16" borderId="99" xfId="0" applyFont="1" applyFill="1" applyBorder="1" applyProtection="1"/>
    <xf numFmtId="0" fontId="16" fillId="0" borderId="99" xfId="0" applyFont="1" applyBorder="1" applyProtection="1"/>
    <xf numFmtId="0" fontId="51" fillId="16" borderId="99" xfId="0" applyFont="1" applyFill="1" applyBorder="1" applyAlignment="1" applyProtection="1">
      <alignment horizontal="left"/>
    </xf>
    <xf numFmtId="0" fontId="10" fillId="28" borderId="114" xfId="0" applyFont="1" applyFill="1" applyBorder="1" applyAlignment="1" applyProtection="1">
      <alignment horizontal="center" vertical="center" wrapText="1"/>
    </xf>
    <xf numFmtId="0" fontId="18" fillId="28" borderId="114" xfId="0" applyFont="1" applyFill="1" applyBorder="1" applyAlignment="1" applyProtection="1">
      <alignment horizontal="center" vertical="center" wrapText="1"/>
    </xf>
    <xf numFmtId="0" fontId="8" fillId="0" borderId="99" xfId="0" applyFont="1" applyFill="1" applyBorder="1" applyAlignment="1" applyProtection="1">
      <alignment horizontal="left" vertical="center" wrapText="1"/>
    </xf>
    <xf numFmtId="3" fontId="16" fillId="0" borderId="99" xfId="0" applyNumberFormat="1" applyFont="1" applyFill="1" applyBorder="1" applyAlignment="1" applyProtection="1">
      <alignment horizontal="center" vertical="center"/>
    </xf>
    <xf numFmtId="0" fontId="16" fillId="0" borderId="99" xfId="0" applyFont="1" applyFill="1" applyBorder="1" applyAlignment="1" applyProtection="1">
      <alignment horizontal="center" vertical="center"/>
    </xf>
    <xf numFmtId="4" fontId="16" fillId="0" borderId="99" xfId="0" applyNumberFormat="1" applyFont="1" applyFill="1" applyBorder="1" applyAlignment="1" applyProtection="1">
      <alignment horizontal="center" vertical="center"/>
    </xf>
    <xf numFmtId="4" fontId="16" fillId="0" borderId="99" xfId="0" applyNumberFormat="1" applyFont="1" applyFill="1" applyBorder="1" applyAlignment="1" applyProtection="1">
      <alignment horizontal="right" vertical="center"/>
    </xf>
    <xf numFmtId="44" fontId="14" fillId="2" borderId="14" xfId="0" applyNumberFormat="1" applyFont="1" applyFill="1" applyBorder="1" applyAlignment="1">
      <alignment horizontal="center" vertical="center"/>
    </xf>
    <xf numFmtId="4" fontId="14" fillId="2" borderId="11" xfId="0" applyNumberFormat="1" applyFont="1" applyFill="1" applyBorder="1" applyAlignment="1">
      <alignment horizontal="center" vertical="center"/>
    </xf>
    <xf numFmtId="0" fontId="16" fillId="0" borderId="14" xfId="0" applyFont="1" applyBorder="1"/>
    <xf numFmtId="14" fontId="16" fillId="0" borderId="34" xfId="0" applyNumberFormat="1" applyFont="1" applyBorder="1" applyAlignment="1">
      <alignment vertical="center" wrapText="1"/>
    </xf>
    <xf numFmtId="14" fontId="16" fillId="0" borderId="27" xfId="0" applyNumberFormat="1" applyFont="1" applyBorder="1" applyAlignment="1">
      <alignment vertical="center" wrapText="1"/>
    </xf>
    <xf numFmtId="0" fontId="28" fillId="16" borderId="50" xfId="0" applyFont="1" applyFill="1" applyBorder="1" applyAlignment="1">
      <alignment horizontal="left"/>
    </xf>
    <xf numFmtId="0" fontId="0" fillId="0" borderId="0" xfId="0" applyBorder="1"/>
    <xf numFmtId="44" fontId="21" fillId="12" borderId="10" xfId="0" applyNumberFormat="1" applyFont="1" applyFill="1" applyBorder="1" applyAlignment="1" applyProtection="1">
      <alignment horizontal="center" vertical="center"/>
    </xf>
    <xf numFmtId="171" fontId="13" fillId="2" borderId="11" xfId="0" applyNumberFormat="1" applyFont="1" applyFill="1" applyBorder="1" applyAlignment="1">
      <alignment horizontal="center" vertical="center"/>
    </xf>
    <xf numFmtId="0" fontId="101" fillId="0" borderId="116" xfId="6" applyFont="1" applyFill="1" applyBorder="1" applyAlignment="1" applyProtection="1"/>
    <xf numFmtId="0" fontId="102" fillId="0" borderId="117" xfId="0" applyFont="1" applyFill="1" applyBorder="1" applyAlignment="1" applyProtection="1">
      <alignment horizontal="center"/>
    </xf>
    <xf numFmtId="0" fontId="103" fillId="0" borderId="27" xfId="3" applyFont="1" applyFill="1" applyBorder="1" applyAlignment="1" applyProtection="1">
      <alignment horizontal="center"/>
    </xf>
    <xf numFmtId="10" fontId="32" fillId="68" borderId="27" xfId="0" applyNumberFormat="1" applyFont="1" applyFill="1" applyBorder="1" applyAlignment="1" applyProtection="1">
      <alignment horizontal="justify" vertical="center"/>
    </xf>
    <xf numFmtId="10" fontId="32" fillId="68" borderId="10" xfId="0" applyNumberFormat="1" applyFont="1" applyFill="1" applyBorder="1" applyAlignment="1" applyProtection="1">
      <alignment horizontal="left" vertical="center" wrapText="1"/>
    </xf>
    <xf numFmtId="10" fontId="32" fillId="68" borderId="27" xfId="0" applyNumberFormat="1" applyFont="1" applyFill="1" applyBorder="1" applyAlignment="1" applyProtection="1">
      <alignment horizontal="justify" vertical="center" wrapText="1"/>
    </xf>
    <xf numFmtId="166" fontId="14" fillId="0" borderId="27" xfId="0" applyNumberFormat="1" applyFont="1" applyFill="1" applyBorder="1" applyAlignment="1" applyProtection="1">
      <alignment horizontal="right" vertical="center" indent="1"/>
    </xf>
    <xf numFmtId="0" fontId="24" fillId="0" borderId="10" xfId="0" applyFont="1" applyBorder="1" applyAlignment="1">
      <alignment horizontal="left" vertical="center" shrinkToFit="1"/>
    </xf>
    <xf numFmtId="10" fontId="24" fillId="0" borderId="10" xfId="0" applyNumberFormat="1" applyFont="1" applyBorder="1" applyAlignment="1" applyProtection="1">
      <alignment horizontal="left" vertical="center" wrapText="1"/>
    </xf>
    <xf numFmtId="0" fontId="32" fillId="0" borderId="27" xfId="0" applyFont="1" applyBorder="1" applyAlignment="1" applyProtection="1">
      <alignment vertical="center" shrinkToFit="1"/>
    </xf>
    <xf numFmtId="0" fontId="32" fillId="0" borderId="27" xfId="0" applyFont="1" applyBorder="1" applyAlignment="1" applyProtection="1">
      <alignment vertical="center"/>
    </xf>
    <xf numFmtId="10" fontId="32" fillId="68" borderId="27" xfId="0" applyNumberFormat="1" applyFont="1" applyFill="1" applyBorder="1" applyAlignment="1" applyProtection="1">
      <alignment horizontal="left" vertical="center" wrapText="1"/>
    </xf>
    <xf numFmtId="0" fontId="32" fillId="0" borderId="27" xfId="0" applyFont="1" applyBorder="1" applyAlignment="1" applyProtection="1">
      <alignment horizontal="justify" vertical="center"/>
    </xf>
    <xf numFmtId="166" fontId="13" fillId="38" borderId="73" xfId="0" applyNumberFormat="1" applyFont="1" applyFill="1" applyBorder="1" applyAlignment="1" applyProtection="1">
      <alignment horizontal="right" vertical="center" indent="1"/>
    </xf>
    <xf numFmtId="10" fontId="24" fillId="0" borderId="0" xfId="0" applyNumberFormat="1" applyFont="1" applyBorder="1" applyAlignment="1">
      <alignment horizontal="left" vertical="center"/>
    </xf>
    <xf numFmtId="10" fontId="32" fillId="0" borderId="10" xfId="0" applyNumberFormat="1" applyFont="1" applyFill="1" applyBorder="1" applyAlignment="1">
      <alignment horizontal="left" vertical="center" wrapText="1"/>
    </xf>
    <xf numFmtId="166" fontId="14" fillId="10" borderId="59" xfId="0" applyNumberFormat="1" applyFont="1" applyFill="1" applyBorder="1" applyAlignment="1" applyProtection="1">
      <alignment horizontal="right" vertical="center" indent="1"/>
    </xf>
    <xf numFmtId="0" fontId="31" fillId="0" borderId="59" xfId="0" applyFont="1" applyBorder="1" applyAlignment="1" applyProtection="1">
      <alignment vertical="center" wrapText="1"/>
    </xf>
    <xf numFmtId="0" fontId="24" fillId="0" borderId="59" xfId="0" quotePrefix="1" applyFont="1" applyBorder="1" applyAlignment="1" applyProtection="1">
      <alignment vertical="center" wrapText="1"/>
    </xf>
    <xf numFmtId="0" fontId="24" fillId="0" borderId="27" xfId="0" applyFont="1" applyBorder="1" applyAlignment="1" applyProtection="1">
      <alignment vertical="center" wrapText="1"/>
    </xf>
    <xf numFmtId="166" fontId="13" fillId="0" borderId="73" xfId="0" applyNumberFormat="1" applyFont="1" applyFill="1" applyBorder="1" applyAlignment="1" applyProtection="1">
      <alignment horizontal="right" vertical="center" indent="1"/>
    </xf>
    <xf numFmtId="166" fontId="13" fillId="0" borderId="27" xfId="0" applyNumberFormat="1" applyFont="1" applyFill="1" applyBorder="1" applyAlignment="1" applyProtection="1">
      <alignment horizontal="right" vertical="center" indent="1"/>
    </xf>
    <xf numFmtId="166" fontId="14" fillId="69" borderId="27" xfId="0" applyNumberFormat="1" applyFont="1" applyFill="1" applyBorder="1" applyAlignment="1" applyProtection="1">
      <alignment horizontal="right" vertical="center" indent="1"/>
    </xf>
    <xf numFmtId="166" fontId="13" fillId="69" borderId="27" xfId="0" applyNumberFormat="1" applyFont="1" applyFill="1" applyBorder="1" applyAlignment="1" applyProtection="1">
      <alignment horizontal="right" vertical="center" indent="1"/>
    </xf>
    <xf numFmtId="0" fontId="16" fillId="16" borderId="0" xfId="0" applyFont="1" applyFill="1" applyBorder="1" applyAlignment="1" applyProtection="1">
      <alignment horizontal="center" vertical="center" wrapText="1"/>
    </xf>
    <xf numFmtId="0" fontId="14" fillId="10" borderId="0" xfId="3" applyFont="1" applyFill="1" applyBorder="1" applyAlignment="1" applyProtection="1">
      <alignment horizontal="left"/>
    </xf>
    <xf numFmtId="0" fontId="13" fillId="10" borderId="27" xfId="3" applyFont="1" applyFill="1" applyBorder="1" applyAlignment="1" applyProtection="1">
      <alignment horizontal="center" vertical="center"/>
    </xf>
    <xf numFmtId="0" fontId="14" fillId="0" borderId="0" xfId="3" applyFont="1" applyBorder="1" applyAlignment="1" applyProtection="1">
      <alignment horizontal="left" vertical="center" wrapText="1"/>
    </xf>
    <xf numFmtId="0" fontId="18" fillId="34" borderId="19" xfId="0" applyFont="1" applyFill="1" applyBorder="1" applyAlignment="1" applyProtection="1">
      <alignment horizontal="center" vertical="center" wrapText="1"/>
    </xf>
    <xf numFmtId="0" fontId="16" fillId="0" borderId="0" xfId="0" applyFont="1" applyAlignment="1" applyProtection="1">
      <alignment horizontal="center"/>
    </xf>
    <xf numFmtId="0" fontId="39" fillId="70" borderId="10" xfId="0" applyFont="1" applyFill="1" applyBorder="1" applyAlignment="1">
      <alignment horizontal="center" vertical="center" wrapText="1"/>
    </xf>
    <xf numFmtId="164" fontId="39" fillId="3" borderId="11" xfId="0" applyNumberFormat="1" applyFont="1" applyFill="1" applyBorder="1" applyAlignment="1">
      <alignment horizontal="center" vertical="center" wrapText="1"/>
    </xf>
    <xf numFmtId="171" fontId="14" fillId="10" borderId="59" xfId="0" applyNumberFormat="1" applyFont="1" applyFill="1" applyBorder="1" applyAlignment="1" applyProtection="1">
      <alignment horizontal="center" vertical="center"/>
    </xf>
    <xf numFmtId="1" fontId="14" fillId="10" borderId="59" xfId="0" applyNumberFormat="1" applyFont="1" applyFill="1" applyBorder="1" applyAlignment="1" applyProtection="1">
      <alignment horizontal="center" vertical="center"/>
    </xf>
    <xf numFmtId="171" fontId="14" fillId="10" borderId="27" xfId="0" applyNumberFormat="1" applyFont="1" applyFill="1" applyBorder="1" applyAlignment="1" applyProtection="1">
      <alignment horizontal="center" vertical="center"/>
    </xf>
    <xf numFmtId="1" fontId="14" fillId="10" borderId="27" xfId="0" applyNumberFormat="1" applyFont="1" applyFill="1" applyBorder="1" applyAlignment="1" applyProtection="1">
      <alignment horizontal="center" vertical="center"/>
    </xf>
    <xf numFmtId="0" fontId="21" fillId="2" borderId="22" xfId="0" applyFont="1" applyFill="1" applyBorder="1" applyAlignment="1">
      <alignment horizontal="center" vertical="center" wrapText="1"/>
    </xf>
    <xf numFmtId="0" fontId="26" fillId="5" borderId="30" xfId="0" applyFont="1" applyFill="1" applyBorder="1" applyAlignment="1">
      <alignment horizontal="center" vertical="center" wrapText="1"/>
    </xf>
    <xf numFmtId="0" fontId="14" fillId="15" borderId="0" xfId="3" applyFont="1" applyFill="1" applyBorder="1" applyAlignment="1" applyProtection="1">
      <alignment horizontal="left" vertical="center" wrapText="1"/>
    </xf>
    <xf numFmtId="0" fontId="14" fillId="10" borderId="0" xfId="0" applyFont="1" applyFill="1" applyBorder="1" applyAlignment="1" applyProtection="1">
      <alignment horizontal="left" vertical="center" wrapText="1"/>
    </xf>
    <xf numFmtId="0" fontId="26" fillId="0" borderId="0" xfId="0" applyFont="1" applyFill="1" applyBorder="1" applyAlignment="1">
      <alignment horizontal="center" vertical="center" wrapText="1"/>
    </xf>
    <xf numFmtId="4" fontId="21" fillId="2" borderId="22" xfId="0" applyNumberFormat="1" applyFont="1" applyFill="1" applyBorder="1" applyAlignment="1">
      <alignment horizontal="center" vertical="center"/>
    </xf>
    <xf numFmtId="0" fontId="15" fillId="5" borderId="20" xfId="0" applyFont="1" applyFill="1" applyBorder="1" applyAlignment="1">
      <alignment horizontal="center" vertical="center" wrapText="1"/>
    </xf>
    <xf numFmtId="0" fontId="14" fillId="0" borderId="0" xfId="0" applyFont="1" applyBorder="1"/>
    <xf numFmtId="44" fontId="13" fillId="0" borderId="0" xfId="3" applyNumberFormat="1" applyFont="1" applyFill="1" applyBorder="1" applyAlignment="1" applyProtection="1">
      <alignment horizontal="center" vertical="center" wrapText="1"/>
    </xf>
    <xf numFmtId="44" fontId="14" fillId="10" borderId="0" xfId="3" applyNumberFormat="1" applyFont="1" applyFill="1" applyBorder="1" applyAlignment="1" applyProtection="1">
      <alignment horizontal="center" vertical="center" wrapText="1"/>
    </xf>
    <xf numFmtId="0" fontId="28" fillId="16" borderId="50" xfId="0" applyFont="1" applyFill="1" applyBorder="1" applyAlignment="1">
      <alignment horizontal="left"/>
    </xf>
    <xf numFmtId="0" fontId="63" fillId="0" borderId="0" xfId="0" applyFont="1" applyBorder="1" applyProtection="1"/>
    <xf numFmtId="0" fontId="14" fillId="0" borderId="0" xfId="0" applyFont="1" applyBorder="1" applyProtection="1"/>
    <xf numFmtId="4" fontId="21" fillId="0" borderId="20" xfId="0" applyNumberFormat="1" applyFont="1" applyBorder="1" applyAlignment="1">
      <alignment horizontal="center" vertical="center"/>
    </xf>
    <xf numFmtId="44" fontId="15" fillId="0" borderId="17" xfId="0" applyNumberFormat="1" applyFont="1" applyBorder="1" applyAlignment="1">
      <alignment horizontal="center" vertical="center" wrapText="1"/>
    </xf>
    <xf numFmtId="0" fontId="21" fillId="2" borderId="17" xfId="0" applyFont="1" applyFill="1" applyBorder="1" applyAlignment="1">
      <alignment horizontal="center" vertical="center" wrapText="1"/>
    </xf>
    <xf numFmtId="4" fontId="21" fillId="0" borderId="17" xfId="0" applyNumberFormat="1" applyFont="1" applyFill="1" applyBorder="1" applyAlignment="1">
      <alignment horizontal="center" vertical="center"/>
    </xf>
    <xf numFmtId="4" fontId="21" fillId="0" borderId="18" xfId="0" applyNumberFormat="1" applyFont="1" applyBorder="1" applyAlignment="1">
      <alignment horizontal="center" vertical="center"/>
    </xf>
    <xf numFmtId="0" fontId="16" fillId="2" borderId="14" xfId="0" applyFont="1" applyFill="1" applyBorder="1" applyAlignment="1">
      <alignment horizontal="center" vertical="center"/>
    </xf>
    <xf numFmtId="0" fontId="21" fillId="2" borderId="14" xfId="0" applyFont="1" applyFill="1" applyBorder="1" applyAlignment="1">
      <alignment horizontal="center" vertical="center" wrapText="1"/>
    </xf>
    <xf numFmtId="4" fontId="21" fillId="0" borderId="14" xfId="0" applyNumberFormat="1" applyFont="1" applyFill="1" applyBorder="1" applyAlignment="1">
      <alignment horizontal="center" vertical="center"/>
    </xf>
    <xf numFmtId="4" fontId="21" fillId="0" borderId="14" xfId="0" applyNumberFormat="1" applyFont="1" applyBorder="1" applyAlignment="1">
      <alignment horizontal="center" vertical="center"/>
    </xf>
    <xf numFmtId="4" fontId="21" fillId="0" borderId="16" xfId="0" applyNumberFormat="1" applyFont="1" applyFill="1" applyBorder="1" applyAlignment="1">
      <alignment horizontal="center" vertical="center"/>
    </xf>
    <xf numFmtId="4" fontId="14" fillId="0" borderId="17" xfId="0" applyNumberFormat="1" applyFont="1" applyFill="1" applyBorder="1"/>
    <xf numFmtId="4" fontId="39" fillId="0" borderId="17" xfId="0" applyNumberFormat="1" applyFont="1" applyFill="1" applyBorder="1" applyAlignment="1">
      <alignment horizontal="center" vertical="center" wrapText="1"/>
    </xf>
    <xf numFmtId="171" fontId="15" fillId="0" borderId="17" xfId="0" applyNumberFormat="1" applyFont="1" applyFill="1" applyBorder="1" applyAlignment="1">
      <alignment horizontal="center" vertical="center" wrapText="1"/>
    </xf>
    <xf numFmtId="171" fontId="15" fillId="0" borderId="17" xfId="0" applyNumberFormat="1" applyFont="1" applyFill="1" applyBorder="1" applyAlignment="1">
      <alignment horizontal="center" vertical="center"/>
    </xf>
    <xf numFmtId="4" fontId="14" fillId="0" borderId="14" xfId="0" applyNumberFormat="1" applyFont="1" applyFill="1" applyBorder="1"/>
    <xf numFmtId="4" fontId="39" fillId="0" borderId="14" xfId="0" applyNumberFormat="1" applyFont="1" applyFill="1" applyBorder="1" applyAlignment="1">
      <alignment horizontal="center" vertical="center" wrapText="1"/>
    </xf>
    <xf numFmtId="171" fontId="15" fillId="0" borderId="14" xfId="0" applyNumberFormat="1" applyFont="1" applyFill="1" applyBorder="1" applyAlignment="1">
      <alignment horizontal="center" vertical="center" wrapText="1"/>
    </xf>
    <xf numFmtId="171" fontId="15" fillId="0" borderId="14" xfId="0" applyNumberFormat="1" applyFont="1" applyFill="1" applyBorder="1" applyAlignment="1">
      <alignment horizontal="center" vertical="center"/>
    </xf>
    <xf numFmtId="44" fontId="15" fillId="0" borderId="14" xfId="0" applyNumberFormat="1" applyFont="1" applyFill="1" applyBorder="1" applyAlignment="1">
      <alignment horizontal="center" vertical="center" wrapText="1"/>
    </xf>
    <xf numFmtId="10" fontId="108" fillId="0" borderId="10" xfId="0" applyNumberFormat="1" applyFont="1" applyFill="1" applyBorder="1" applyAlignment="1" applyProtection="1">
      <alignment horizontal="left" vertical="center" wrapText="1"/>
    </xf>
    <xf numFmtId="10" fontId="108" fillId="72" borderId="10" xfId="0" applyNumberFormat="1" applyFont="1" applyFill="1" applyBorder="1" applyAlignment="1" applyProtection="1">
      <alignment horizontal="left" vertical="center" wrapText="1"/>
    </xf>
    <xf numFmtId="0" fontId="18" fillId="0" borderId="37" xfId="0" applyFont="1" applyBorder="1" applyAlignment="1" applyProtection="1">
      <alignment horizontal="center" vertical="center"/>
    </xf>
    <xf numFmtId="173" fontId="10" fillId="17" borderId="122" xfId="0" applyNumberFormat="1" applyFont="1" applyFill="1" applyBorder="1" applyAlignment="1" applyProtection="1">
      <alignment horizontal="right" vertical="center" indent="2"/>
      <protection locked="0"/>
    </xf>
    <xf numFmtId="173" fontId="10" fillId="17" borderId="125" xfId="0" applyNumberFormat="1" applyFont="1" applyFill="1" applyBorder="1" applyAlignment="1" applyProtection="1">
      <alignment horizontal="right" vertical="center" indent="2"/>
      <protection locked="0"/>
    </xf>
    <xf numFmtId="10" fontId="10" fillId="17" borderId="125" xfId="0" applyNumberFormat="1" applyFont="1" applyFill="1" applyBorder="1" applyAlignment="1" applyProtection="1">
      <alignment horizontal="right" vertical="center" indent="2"/>
      <protection locked="0"/>
    </xf>
    <xf numFmtId="10" fontId="18" fillId="73" borderId="129" xfId="4" applyNumberFormat="1" applyFont="1" applyFill="1" applyBorder="1" applyAlignment="1" applyProtection="1">
      <alignment horizontal="right" indent="2"/>
      <protection locked="0"/>
    </xf>
    <xf numFmtId="10" fontId="18" fillId="2" borderId="49" xfId="0" applyNumberFormat="1" applyFont="1" applyFill="1" applyBorder="1" applyAlignment="1" applyProtection="1">
      <alignment horizontal="right" vertical="center" indent="2"/>
    </xf>
    <xf numFmtId="0" fontId="18" fillId="38" borderId="134" xfId="0" applyFont="1" applyFill="1" applyBorder="1" applyAlignment="1" applyProtection="1">
      <alignment horizontal="center" vertical="center" wrapText="1"/>
    </xf>
    <xf numFmtId="0" fontId="84" fillId="0" borderId="0" xfId="0" applyFont="1" applyAlignment="1" applyProtection="1">
      <alignment vertical="center" wrapText="1"/>
    </xf>
    <xf numFmtId="17" fontId="16" fillId="73" borderId="27" xfId="0" applyNumberFormat="1" applyFont="1" applyFill="1" applyBorder="1" applyAlignment="1" applyProtection="1">
      <alignment horizontal="center"/>
    </xf>
    <xf numFmtId="4" fontId="109" fillId="73" borderId="27" xfId="7" applyNumberFormat="1" applyFont="1" applyFill="1" applyBorder="1" applyAlignment="1">
      <alignment horizontal="right" vertical="center"/>
    </xf>
    <xf numFmtId="10" fontId="16" fillId="0" borderId="27" xfId="0" applyNumberFormat="1" applyFont="1" applyFill="1" applyBorder="1" applyAlignment="1" applyProtection="1">
      <alignment horizontal="center"/>
    </xf>
    <xf numFmtId="4" fontId="16" fillId="73" borderId="27" xfId="0" applyNumberFormat="1" applyFont="1" applyFill="1" applyBorder="1" applyAlignment="1" applyProtection="1">
      <alignment horizontal="right"/>
    </xf>
    <xf numFmtId="0" fontId="18" fillId="0" borderId="3" xfId="0" applyFont="1" applyFill="1" applyBorder="1" applyAlignment="1" applyProtection="1"/>
    <xf numFmtId="0" fontId="18" fillId="0" borderId="4" xfId="0" applyFont="1" applyFill="1" applyBorder="1" applyAlignment="1" applyProtection="1">
      <alignment horizontal="right"/>
    </xf>
    <xf numFmtId="0" fontId="18" fillId="14" borderId="35" xfId="0" applyFont="1" applyFill="1" applyBorder="1" applyAlignment="1" applyProtection="1">
      <alignment horizontal="right"/>
    </xf>
    <xf numFmtId="10" fontId="18" fillId="38" borderId="73" xfId="0" applyNumberFormat="1" applyFont="1" applyFill="1" applyBorder="1" applyAlignment="1" applyProtection="1">
      <alignment horizontal="center"/>
    </xf>
    <xf numFmtId="0" fontId="18" fillId="14" borderId="135" xfId="0" applyFont="1" applyFill="1" applyBorder="1" applyAlignment="1" applyProtection="1">
      <alignment horizontal="right"/>
    </xf>
    <xf numFmtId="10" fontId="108" fillId="72" borderId="10" xfId="0" applyNumberFormat="1" applyFont="1" applyFill="1" applyBorder="1" applyAlignment="1" applyProtection="1">
      <alignment horizontal="left" vertical="center" wrapText="1"/>
      <protection locked="0"/>
    </xf>
    <xf numFmtId="10" fontId="32" fillId="0" borderId="27" xfId="0" applyNumberFormat="1" applyFont="1" applyFill="1" applyBorder="1" applyAlignment="1" applyProtection="1">
      <alignment horizontal="justify" vertical="center"/>
    </xf>
    <xf numFmtId="0" fontId="16" fillId="0" borderId="10" xfId="0" applyFont="1" applyFill="1" applyBorder="1" applyAlignment="1">
      <alignment horizontal="center" vertical="center"/>
    </xf>
    <xf numFmtId="0" fontId="21" fillId="0" borderId="10" xfId="0" applyFont="1" applyFill="1" applyBorder="1" applyAlignment="1">
      <alignment horizontal="left" vertical="center" wrapText="1"/>
    </xf>
    <xf numFmtId="0" fontId="21" fillId="0" borderId="22" xfId="0" applyFont="1" applyFill="1" applyBorder="1" applyAlignment="1">
      <alignment horizontal="center" vertical="center" wrapText="1"/>
    </xf>
    <xf numFmtId="4" fontId="21" fillId="0" borderId="22" xfId="0" applyNumberFormat="1" applyFont="1" applyFill="1" applyBorder="1" applyAlignment="1">
      <alignment horizontal="center" vertical="center"/>
    </xf>
    <xf numFmtId="0" fontId="21" fillId="0" borderId="10" xfId="0" applyFont="1" applyFill="1" applyBorder="1" applyAlignment="1">
      <alignment horizontal="center" vertical="center"/>
    </xf>
    <xf numFmtId="0" fontId="16" fillId="0" borderId="10" xfId="0" applyFont="1" applyFill="1" applyBorder="1" applyAlignment="1">
      <alignment horizontal="center" vertical="center" wrapText="1"/>
    </xf>
    <xf numFmtId="4" fontId="14" fillId="0" borderId="10" xfId="0" applyNumberFormat="1" applyFont="1" applyFill="1" applyBorder="1" applyAlignment="1">
      <alignment horizontal="center" vertical="center"/>
    </xf>
    <xf numFmtId="171" fontId="13" fillId="0" borderId="10" xfId="0" applyNumberFormat="1" applyFont="1" applyFill="1" applyBorder="1" applyAlignment="1">
      <alignment horizontal="center" vertical="center"/>
    </xf>
    <xf numFmtId="0" fontId="16" fillId="0" borderId="22" xfId="0" applyFont="1" applyFill="1" applyBorder="1" applyAlignment="1">
      <alignment horizontal="center" vertical="center" wrapText="1"/>
    </xf>
    <xf numFmtId="14" fontId="16" fillId="0" borderId="35" xfId="0" applyNumberFormat="1" applyFont="1" applyFill="1" applyBorder="1" applyAlignment="1">
      <alignment horizontal="center" vertical="center" wrapText="1"/>
    </xf>
    <xf numFmtId="14" fontId="16" fillId="0" borderId="27" xfId="0" applyNumberFormat="1" applyFont="1" applyFill="1" applyBorder="1" applyAlignment="1">
      <alignment vertical="center" wrapText="1"/>
    </xf>
    <xf numFmtId="3" fontId="16" fillId="0" borderId="27" xfId="0" applyNumberFormat="1" applyFont="1" applyFill="1" applyBorder="1" applyAlignment="1">
      <alignment horizontal="center" vertical="center"/>
    </xf>
    <xf numFmtId="0" fontId="8" fillId="0" borderId="34" xfId="0" applyFont="1" applyFill="1" applyBorder="1" applyAlignment="1">
      <alignment horizontal="center" vertical="center"/>
    </xf>
    <xf numFmtId="44" fontId="14" fillId="0" borderId="10" xfId="0" applyNumberFormat="1" applyFont="1" applyFill="1" applyBorder="1" applyAlignment="1">
      <alignment horizontal="center" vertical="center"/>
    </xf>
    <xf numFmtId="44" fontId="8" fillId="0" borderId="27" xfId="0" applyNumberFormat="1" applyFont="1" applyFill="1" applyBorder="1" applyAlignment="1">
      <alignment horizontal="center" vertical="center"/>
    </xf>
    <xf numFmtId="0" fontId="8" fillId="0" borderId="27" xfId="0" applyFont="1" applyFill="1" applyBorder="1" applyAlignment="1">
      <alignment horizontal="center" vertical="center"/>
    </xf>
    <xf numFmtId="44" fontId="8" fillId="64" borderId="34" xfId="0" applyNumberFormat="1" applyFont="1" applyFill="1" applyBorder="1" applyAlignment="1">
      <alignment vertical="center"/>
    </xf>
    <xf numFmtId="44" fontId="8" fillId="64" borderId="27" xfId="0" applyNumberFormat="1" applyFont="1" applyFill="1" applyBorder="1" applyAlignment="1">
      <alignment vertical="center"/>
    </xf>
    <xf numFmtId="0" fontId="18" fillId="0" borderId="0" xfId="0" applyFont="1" applyFill="1" applyBorder="1" applyAlignment="1">
      <alignment horizontal="center" vertical="center"/>
    </xf>
    <xf numFmtId="0" fontId="16" fillId="0" borderId="0" xfId="0" applyFont="1" applyFill="1" applyBorder="1" applyAlignment="1">
      <alignment vertical="center" wrapText="1"/>
    </xf>
    <xf numFmtId="0" fontId="110" fillId="0" borderId="50" xfId="0" applyFont="1" applyBorder="1"/>
    <xf numFmtId="0" fontId="103" fillId="16" borderId="0" xfId="0" applyFont="1" applyFill="1" applyBorder="1" applyAlignment="1">
      <alignment horizontal="center" vertical="center"/>
    </xf>
    <xf numFmtId="0" fontId="111" fillId="16" borderId="17" xfId="0" applyFont="1" applyFill="1" applyBorder="1" applyAlignment="1">
      <alignment horizontal="center"/>
    </xf>
    <xf numFmtId="166" fontId="112" fillId="0" borderId="27" xfId="0" applyNumberFormat="1" applyFont="1" applyFill="1" applyBorder="1" applyAlignment="1" applyProtection="1">
      <alignment horizontal="right" vertical="center" indent="1"/>
    </xf>
    <xf numFmtId="10" fontId="113" fillId="0" borderId="10" xfId="0" applyNumberFormat="1" applyFont="1" applyBorder="1" applyAlignment="1">
      <alignment horizontal="center" vertical="center" wrapText="1"/>
    </xf>
    <xf numFmtId="10" fontId="113" fillId="0" borderId="10" xfId="0" applyNumberFormat="1" applyFont="1" applyFill="1" applyBorder="1" applyAlignment="1" applyProtection="1">
      <alignment horizontal="left" vertical="center" wrapText="1"/>
    </xf>
    <xf numFmtId="0" fontId="112" fillId="0" borderId="10" xfId="0" applyFont="1" applyBorder="1" applyAlignment="1">
      <alignment horizontal="center" vertical="center" wrapText="1"/>
    </xf>
    <xf numFmtId="0" fontId="112" fillId="0" borderId="10" xfId="0" applyFont="1" applyFill="1" applyBorder="1" applyAlignment="1">
      <alignment horizontal="center" vertical="center"/>
    </xf>
    <xf numFmtId="0" fontId="112" fillId="0" borderId="10" xfId="0" applyFont="1" applyFill="1" applyBorder="1" applyAlignment="1">
      <alignment horizontal="center" vertical="center" wrapText="1"/>
    </xf>
    <xf numFmtId="167" fontId="112" fillId="0" borderId="10" xfId="0" applyNumberFormat="1" applyFont="1" applyFill="1" applyBorder="1" applyAlignment="1">
      <alignment horizontal="center" vertical="center" wrapText="1"/>
    </xf>
    <xf numFmtId="10" fontId="113" fillId="0" borderId="10" xfId="0" applyNumberFormat="1" applyFont="1" applyFill="1" applyBorder="1" applyAlignment="1">
      <alignment horizontal="left" vertical="center" wrapText="1"/>
    </xf>
    <xf numFmtId="166" fontId="103" fillId="38" borderId="73" xfId="0" applyNumberFormat="1" applyFont="1" applyFill="1" applyBorder="1" applyAlignment="1" applyProtection="1">
      <alignment horizontal="right" vertical="center" indent="1"/>
    </xf>
    <xf numFmtId="10" fontId="113" fillId="0" borderId="53" xfId="0" applyNumberFormat="1" applyFont="1" applyBorder="1" applyAlignment="1">
      <alignment horizontal="left" vertical="center"/>
    </xf>
    <xf numFmtId="10" fontId="113" fillId="16" borderId="0" xfId="0" applyNumberFormat="1" applyFont="1" applyFill="1" applyBorder="1" applyAlignment="1">
      <alignment horizontal="left" vertical="center"/>
    </xf>
    <xf numFmtId="4" fontId="14" fillId="72" borderId="35" xfId="0" applyNumberFormat="1" applyFont="1" applyFill="1" applyBorder="1" applyAlignment="1" applyProtection="1">
      <alignment horizontal="right" vertical="center" indent="1"/>
      <protection locked="0"/>
    </xf>
    <xf numFmtId="174" fontId="14" fillId="69" borderId="27" xfId="0" applyNumberFormat="1" applyFont="1" applyFill="1" applyBorder="1" applyAlignment="1" applyProtection="1">
      <alignment horizontal="right" vertical="center" indent="1"/>
    </xf>
    <xf numFmtId="174" fontId="14" fillId="0" borderId="27" xfId="0" applyNumberFormat="1" applyFont="1" applyFill="1" applyBorder="1" applyAlignment="1" applyProtection="1">
      <alignment horizontal="right" vertical="center" indent="1"/>
    </xf>
    <xf numFmtId="174" fontId="13" fillId="69" borderId="27" xfId="0" applyNumberFormat="1" applyFont="1" applyFill="1" applyBorder="1" applyAlignment="1" applyProtection="1">
      <alignment horizontal="right" vertical="center" indent="1"/>
    </xf>
    <xf numFmtId="174" fontId="13" fillId="38" borderId="73" xfId="0" applyNumberFormat="1" applyFont="1" applyFill="1" applyBorder="1" applyAlignment="1" applyProtection="1">
      <alignment horizontal="right" vertical="center" indent="1"/>
    </xf>
    <xf numFmtId="174" fontId="18" fillId="16" borderId="46" xfId="0" applyNumberFormat="1" applyFont="1" applyFill="1" applyBorder="1" applyAlignment="1">
      <alignment horizontal="right" vertical="center" indent="1"/>
    </xf>
    <xf numFmtId="4" fontId="18" fillId="5" borderId="52" xfId="0" applyNumberFormat="1" applyFont="1" applyFill="1" applyBorder="1" applyAlignment="1">
      <alignment horizontal="right" vertical="center" wrapText="1" indent="1"/>
    </xf>
    <xf numFmtId="166" fontId="18" fillId="16" borderId="46" xfId="0" applyNumberFormat="1" applyFont="1" applyFill="1" applyBorder="1" applyAlignment="1">
      <alignment horizontal="right" vertical="center" indent="1"/>
    </xf>
    <xf numFmtId="44" fontId="18" fillId="2" borderId="36" xfId="0" applyNumberFormat="1" applyFont="1" applyFill="1" applyBorder="1" applyAlignment="1">
      <alignment horizontal="center" vertical="center"/>
    </xf>
    <xf numFmtId="44" fontId="18" fillId="2" borderId="37" xfId="0" applyNumberFormat="1" applyFont="1" applyFill="1" applyBorder="1" applyAlignment="1">
      <alignment horizontal="center" vertical="center"/>
    </xf>
    <xf numFmtId="0" fontId="26" fillId="5" borderId="39" xfId="0" applyFont="1" applyFill="1" applyBorder="1" applyAlignment="1">
      <alignment horizontal="center" vertical="center" wrapText="1"/>
    </xf>
    <xf numFmtId="0" fontId="26" fillId="5" borderId="40" xfId="0" applyFont="1" applyFill="1" applyBorder="1" applyAlignment="1">
      <alignment horizontal="center" vertical="center" wrapText="1"/>
    </xf>
    <xf numFmtId="0" fontId="21" fillId="11" borderId="22" xfId="0" applyFont="1" applyFill="1" applyBorder="1" applyAlignment="1">
      <alignment horizontal="center" vertical="center" wrapText="1"/>
    </xf>
    <xf numFmtId="0" fontId="21" fillId="11" borderId="21" xfId="0" applyFont="1" applyFill="1" applyBorder="1" applyAlignment="1">
      <alignment horizontal="center" vertical="center" wrapText="1"/>
    </xf>
    <xf numFmtId="44" fontId="21" fillId="11" borderId="22" xfId="0" applyNumberFormat="1" applyFont="1" applyFill="1" applyBorder="1" applyAlignment="1">
      <alignment horizontal="center" vertical="center" wrapText="1"/>
    </xf>
    <xf numFmtId="44" fontId="21" fillId="11" borderId="21" xfId="0" applyNumberFormat="1" applyFont="1" applyFill="1" applyBorder="1" applyAlignment="1">
      <alignment horizontal="center" vertical="center" wrapText="1"/>
    </xf>
    <xf numFmtId="0" fontId="21" fillId="2" borderId="22" xfId="0" applyFont="1" applyFill="1" applyBorder="1" applyAlignment="1">
      <alignment horizontal="center" vertical="center" wrapText="1"/>
    </xf>
    <xf numFmtId="0" fontId="21" fillId="2" borderId="21" xfId="0" applyFont="1" applyFill="1" applyBorder="1" applyAlignment="1">
      <alignment horizontal="center" vertical="center" wrapText="1"/>
    </xf>
    <xf numFmtId="44" fontId="21" fillId="0" borderId="22" xfId="0" applyNumberFormat="1" applyFont="1" applyFill="1" applyBorder="1" applyAlignment="1">
      <alignment horizontal="center" vertical="center" wrapText="1"/>
    </xf>
    <xf numFmtId="44" fontId="21" fillId="0" borderId="21" xfId="0" applyNumberFormat="1" applyFont="1" applyFill="1" applyBorder="1" applyAlignment="1">
      <alignment horizontal="center" vertical="center" wrapText="1"/>
    </xf>
    <xf numFmtId="0" fontId="68" fillId="9" borderId="26" xfId="0" applyFont="1" applyFill="1" applyBorder="1" applyAlignment="1">
      <alignment horizontal="left"/>
    </xf>
    <xf numFmtId="0" fontId="68" fillId="9" borderId="28" xfId="0" applyFont="1" applyFill="1" applyBorder="1" applyAlignment="1">
      <alignment horizontal="left"/>
    </xf>
    <xf numFmtId="0" fontId="26" fillId="5" borderId="30" xfId="0" applyFont="1" applyFill="1" applyBorder="1" applyAlignment="1">
      <alignment horizontal="center" vertical="center" wrapText="1"/>
    </xf>
    <xf numFmtId="0" fontId="26" fillId="5" borderId="38" xfId="0" applyFont="1" applyFill="1" applyBorder="1" applyAlignment="1">
      <alignment horizontal="center" vertical="center" wrapText="1"/>
    </xf>
    <xf numFmtId="1" fontId="16" fillId="0" borderId="43" xfId="0" applyNumberFormat="1" applyFont="1" applyBorder="1" applyAlignment="1">
      <alignment horizontal="center" vertical="center" wrapText="1"/>
    </xf>
    <xf numFmtId="1" fontId="16" fillId="0" borderId="44" xfId="0" applyNumberFormat="1" applyFont="1" applyBorder="1" applyAlignment="1">
      <alignment horizontal="center" vertical="center" wrapText="1"/>
    </xf>
    <xf numFmtId="44" fontId="10" fillId="14" borderId="36" xfId="0" applyNumberFormat="1" applyFont="1" applyFill="1" applyBorder="1" applyAlignment="1">
      <alignment horizontal="center" vertical="center"/>
    </xf>
    <xf numFmtId="44" fontId="10" fillId="14" borderId="68" xfId="0" applyNumberFormat="1" applyFont="1" applyFill="1" applyBorder="1" applyAlignment="1">
      <alignment horizontal="center" vertical="center"/>
    </xf>
    <xf numFmtId="44" fontId="10" fillId="14" borderId="37" xfId="0" applyNumberFormat="1" applyFont="1" applyFill="1" applyBorder="1" applyAlignment="1">
      <alignment horizontal="center" vertical="center"/>
    </xf>
    <xf numFmtId="4" fontId="15" fillId="58" borderId="35" xfId="0" applyNumberFormat="1" applyFont="1" applyFill="1" applyBorder="1" applyAlignment="1">
      <alignment horizontal="center"/>
    </xf>
    <xf numFmtId="4" fontId="15" fillId="58" borderId="60" xfId="0" applyNumberFormat="1" applyFont="1" applyFill="1" applyBorder="1" applyAlignment="1">
      <alignment horizontal="center"/>
    </xf>
    <xf numFmtId="4" fontId="15" fillId="58" borderId="25" xfId="0" applyNumberFormat="1" applyFont="1" applyFill="1" applyBorder="1" applyAlignment="1">
      <alignment horizontal="center"/>
    </xf>
    <xf numFmtId="0" fontId="14" fillId="15" borderId="0" xfId="3" applyFont="1" applyFill="1" applyBorder="1" applyAlignment="1" applyProtection="1">
      <alignment horizontal="left" vertical="center" wrapText="1"/>
    </xf>
    <xf numFmtId="0" fontId="14" fillId="10" borderId="0" xfId="0" applyFont="1" applyFill="1" applyBorder="1" applyAlignment="1" applyProtection="1">
      <alignment horizontal="left" vertical="center" wrapText="1"/>
    </xf>
    <xf numFmtId="0" fontId="14" fillId="15" borderId="0" xfId="0" applyFont="1" applyFill="1" applyBorder="1" applyAlignment="1" applyProtection="1">
      <alignment horizontal="left" vertical="center" wrapText="1"/>
    </xf>
    <xf numFmtId="0" fontId="8" fillId="2" borderId="0" xfId="0" applyFont="1" applyFill="1" applyBorder="1" applyAlignment="1">
      <alignment horizontal="left" vertical="center"/>
    </xf>
    <xf numFmtId="4" fontId="21" fillId="2" borderId="0" xfId="0" applyNumberFormat="1" applyFont="1" applyFill="1" applyBorder="1" applyAlignment="1">
      <alignment horizontal="left" vertical="center"/>
    </xf>
    <xf numFmtId="44" fontId="21" fillId="2" borderId="13" xfId="0" applyNumberFormat="1" applyFont="1" applyFill="1" applyBorder="1" applyAlignment="1">
      <alignment horizontal="center" vertical="center" wrapText="1"/>
    </xf>
    <xf numFmtId="44" fontId="21" fillId="2" borderId="15" xfId="0" applyNumberFormat="1" applyFont="1" applyFill="1" applyBorder="1" applyAlignment="1">
      <alignment horizontal="center" vertical="center" wrapText="1"/>
    </xf>
    <xf numFmtId="0" fontId="40" fillId="0" borderId="23" xfId="0" applyFont="1" applyFill="1" applyBorder="1" applyAlignment="1">
      <alignment horizontal="center" vertical="center" wrapText="1"/>
    </xf>
    <xf numFmtId="0" fontId="40" fillId="0" borderId="0" xfId="0" applyFont="1" applyFill="1" applyBorder="1" applyAlignment="1">
      <alignment horizontal="center" vertical="center" wrapText="1"/>
    </xf>
    <xf numFmtId="44" fontId="10" fillId="0" borderId="36" xfId="0" applyNumberFormat="1" applyFont="1" applyBorder="1" applyAlignment="1">
      <alignment horizontal="center" vertical="center"/>
    </xf>
    <xf numFmtId="0" fontId="10" fillId="0" borderId="37" xfId="0" applyFont="1" applyBorder="1" applyAlignment="1">
      <alignment horizontal="center" vertical="center"/>
    </xf>
    <xf numFmtId="44" fontId="21" fillId="0" borderId="0" xfId="0" applyNumberFormat="1" applyFont="1" applyFill="1" applyBorder="1" applyAlignment="1">
      <alignment horizontal="center" vertical="center" wrapText="1"/>
    </xf>
    <xf numFmtId="0" fontId="106" fillId="9" borderId="26" xfId="0" applyFont="1" applyFill="1" applyBorder="1" applyAlignment="1">
      <alignment horizontal="left"/>
    </xf>
    <xf numFmtId="0" fontId="106" fillId="9" borderId="28" xfId="0" applyFont="1" applyFill="1" applyBorder="1" applyAlignment="1">
      <alignment horizontal="left"/>
    </xf>
    <xf numFmtId="0" fontId="21" fillId="0" borderId="41" xfId="0" applyFont="1" applyBorder="1" applyAlignment="1">
      <alignment horizontal="left" vertical="center"/>
    </xf>
    <xf numFmtId="0" fontId="21" fillId="0" borderId="42" xfId="0" applyFont="1" applyBorder="1" applyAlignment="1">
      <alignment horizontal="left" vertical="center"/>
    </xf>
    <xf numFmtId="4" fontId="16" fillId="0" borderId="41" xfId="0" applyNumberFormat="1" applyFont="1" applyBorder="1" applyAlignment="1">
      <alignment horizontal="center" vertical="center" wrapText="1"/>
    </xf>
    <xf numFmtId="0" fontId="16" fillId="0" borderId="42" xfId="0" applyFont="1" applyBorder="1" applyAlignment="1">
      <alignment horizontal="center" vertical="center" wrapText="1"/>
    </xf>
    <xf numFmtId="44" fontId="16" fillId="0" borderId="35" xfId="0" applyNumberFormat="1" applyFont="1" applyFill="1" applyBorder="1" applyAlignment="1">
      <alignment horizontal="center" vertical="center"/>
    </xf>
    <xf numFmtId="0" fontId="16" fillId="0" borderId="25" xfId="0" applyFont="1" applyFill="1" applyBorder="1" applyAlignment="1">
      <alignment horizontal="center" vertical="center"/>
    </xf>
    <xf numFmtId="44" fontId="14" fillId="10" borderId="43" xfId="3" applyNumberFormat="1" applyFont="1" applyFill="1" applyBorder="1" applyAlignment="1" applyProtection="1">
      <alignment horizontal="center" vertical="center" wrapText="1"/>
    </xf>
    <xf numFmtId="44" fontId="14" fillId="10" borderId="112" xfId="3" applyNumberFormat="1" applyFont="1" applyFill="1" applyBorder="1" applyAlignment="1" applyProtection="1">
      <alignment horizontal="center" vertical="center" wrapText="1"/>
    </xf>
    <xf numFmtId="44" fontId="14" fillId="0" borderId="35" xfId="3" applyNumberFormat="1" applyFont="1" applyFill="1" applyBorder="1" applyAlignment="1" applyProtection="1">
      <alignment horizontal="center" vertical="center" wrapText="1"/>
    </xf>
    <xf numFmtId="44" fontId="14" fillId="0" borderId="25" xfId="3" applyNumberFormat="1" applyFont="1" applyFill="1" applyBorder="1" applyAlignment="1" applyProtection="1">
      <alignment horizontal="center" vertical="center" wrapText="1"/>
    </xf>
    <xf numFmtId="0" fontId="26" fillId="5" borderId="32" xfId="0" applyFont="1" applyFill="1" applyBorder="1" applyAlignment="1">
      <alignment horizontal="center" vertical="center" wrapText="1"/>
    </xf>
    <xf numFmtId="0" fontId="26" fillId="5" borderId="33" xfId="0" applyFont="1" applyFill="1" applyBorder="1" applyAlignment="1">
      <alignment horizontal="center" vertical="center" wrapText="1"/>
    </xf>
    <xf numFmtId="4" fontId="21" fillId="2" borderId="16" xfId="0" applyNumberFormat="1" applyFont="1" applyFill="1" applyBorder="1" applyAlignment="1">
      <alignment horizontal="center" vertical="center"/>
    </xf>
    <xf numFmtId="4" fontId="14" fillId="0" borderId="18" xfId="0" applyNumberFormat="1" applyFont="1" applyBorder="1"/>
    <xf numFmtId="4" fontId="21" fillId="2" borderId="22" xfId="0" applyNumberFormat="1" applyFont="1" applyFill="1" applyBorder="1" applyAlignment="1">
      <alignment horizontal="center" vertical="center"/>
    </xf>
    <xf numFmtId="4" fontId="14" fillId="0" borderId="21" xfId="0" applyNumberFormat="1" applyFont="1" applyBorder="1"/>
    <xf numFmtId="4" fontId="21" fillId="0" borderId="22" xfId="0" applyNumberFormat="1" applyFont="1" applyFill="1" applyBorder="1" applyAlignment="1">
      <alignment horizontal="center" vertical="center"/>
    </xf>
    <xf numFmtId="4" fontId="14" fillId="0" borderId="21" xfId="0" applyNumberFormat="1" applyFont="1" applyFill="1" applyBorder="1"/>
    <xf numFmtId="171" fontId="0" fillId="0" borderId="5" xfId="0" applyNumberFormat="1" applyBorder="1" applyAlignment="1">
      <alignment horizontal="center"/>
    </xf>
    <xf numFmtId="171" fontId="0" fillId="0" borderId="0" xfId="0" applyNumberFormat="1" applyAlignment="1">
      <alignment horizontal="center"/>
    </xf>
    <xf numFmtId="0" fontId="26" fillId="0" borderId="0" xfId="0" applyFont="1" applyFill="1" applyBorder="1" applyAlignment="1">
      <alignment horizontal="center" vertical="center" wrapText="1"/>
    </xf>
    <xf numFmtId="44" fontId="14" fillId="10" borderId="35" xfId="3" applyNumberFormat="1" applyFont="1" applyFill="1" applyBorder="1" applyAlignment="1" applyProtection="1">
      <alignment horizontal="center" vertical="center" wrapText="1"/>
    </xf>
    <xf numFmtId="44" fontId="14" fillId="10" borderId="25" xfId="3" applyNumberFormat="1" applyFont="1" applyFill="1" applyBorder="1" applyAlignment="1" applyProtection="1">
      <alignment horizontal="center" vertical="center" wrapText="1"/>
    </xf>
    <xf numFmtId="44" fontId="76" fillId="10" borderId="35" xfId="3" applyNumberFormat="1" applyFont="1" applyFill="1" applyBorder="1" applyAlignment="1" applyProtection="1">
      <alignment horizontal="center" vertical="center" wrapText="1"/>
    </xf>
    <xf numFmtId="44" fontId="76" fillId="10" borderId="25" xfId="3" applyNumberFormat="1" applyFont="1" applyFill="1" applyBorder="1" applyAlignment="1" applyProtection="1">
      <alignment horizontal="center" vertical="center" wrapText="1"/>
    </xf>
    <xf numFmtId="44" fontId="14" fillId="0" borderId="113" xfId="3" applyNumberFormat="1" applyFont="1" applyFill="1" applyBorder="1" applyAlignment="1" applyProtection="1">
      <alignment horizontal="center" vertical="center" wrapText="1"/>
    </xf>
    <xf numFmtId="44" fontId="14" fillId="0" borderId="115" xfId="3" applyNumberFormat="1" applyFont="1" applyFill="1" applyBorder="1" applyAlignment="1" applyProtection="1">
      <alignment horizontal="center" vertical="center" wrapText="1"/>
    </xf>
    <xf numFmtId="44" fontId="13" fillId="10" borderId="36" xfId="3" applyNumberFormat="1" applyFont="1" applyFill="1" applyBorder="1" applyAlignment="1" applyProtection="1">
      <alignment horizontal="center" vertical="center" wrapText="1"/>
    </xf>
    <xf numFmtId="44" fontId="13" fillId="10" borderId="37" xfId="3" applyNumberFormat="1" applyFont="1" applyFill="1" applyBorder="1" applyAlignment="1" applyProtection="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17" fillId="2" borderId="5" xfId="0" applyFont="1" applyFill="1" applyBorder="1" applyAlignment="1">
      <alignment horizontal="center" vertical="center" wrapText="1"/>
    </xf>
    <xf numFmtId="0" fontId="14" fillId="0" borderId="0" xfId="0" applyFont="1" applyBorder="1" applyAlignment="1">
      <alignment vertical="center"/>
    </xf>
    <xf numFmtId="0" fontId="14" fillId="0" borderId="6" xfId="0" applyFont="1" applyBorder="1" applyAlignment="1">
      <alignment vertical="center"/>
    </xf>
    <xf numFmtId="0" fontId="35" fillId="0" borderId="7" xfId="0" applyFont="1" applyFill="1" applyBorder="1" applyAlignment="1">
      <alignment horizontal="center" vertical="center" wrapText="1"/>
    </xf>
    <xf numFmtId="0" fontId="14" fillId="0" borderId="8" xfId="0" applyFont="1" applyFill="1" applyBorder="1" applyAlignment="1">
      <alignment vertical="center"/>
    </xf>
    <xf numFmtId="0" fontId="14" fillId="0" borderId="9" xfId="0" applyFont="1" applyFill="1" applyBorder="1" applyAlignment="1">
      <alignment vertical="center"/>
    </xf>
    <xf numFmtId="0" fontId="18" fillId="3" borderId="13" xfId="0" applyFont="1" applyFill="1" applyBorder="1" applyAlignment="1">
      <alignment horizontal="center" wrapText="1"/>
    </xf>
    <xf numFmtId="0" fontId="14" fillId="4" borderId="14" xfId="0" applyFont="1" applyFill="1" applyBorder="1"/>
    <xf numFmtId="0" fontId="14" fillId="4" borderId="15" xfId="0" applyFont="1" applyFill="1" applyBorder="1"/>
    <xf numFmtId="0" fontId="39" fillId="5" borderId="14" xfId="0" applyFont="1" applyFill="1" applyBorder="1" applyAlignment="1">
      <alignment horizontal="center" vertical="center" wrapText="1"/>
    </xf>
    <xf numFmtId="0" fontId="39" fillId="0" borderId="17" xfId="0" applyFont="1" applyBorder="1"/>
    <xf numFmtId="0" fontId="15" fillId="5" borderId="22" xfId="0" applyFont="1" applyFill="1" applyBorder="1" applyAlignment="1">
      <alignment horizontal="center" vertical="center" wrapText="1"/>
    </xf>
    <xf numFmtId="0" fontId="15" fillId="5" borderId="20" xfId="0" applyFont="1" applyFill="1" applyBorder="1" applyAlignment="1">
      <alignment horizontal="center" vertical="center" wrapText="1"/>
    </xf>
    <xf numFmtId="0" fontId="15" fillId="5" borderId="27" xfId="0" applyFont="1" applyFill="1" applyBorder="1" applyAlignment="1">
      <alignment horizontal="center" vertical="center" wrapText="1"/>
    </xf>
    <xf numFmtId="0" fontId="18" fillId="3" borderId="23" xfId="0" applyFont="1" applyFill="1" applyBorder="1" applyAlignment="1">
      <alignment horizontal="center" wrapText="1"/>
    </xf>
    <xf numFmtId="0" fontId="14" fillId="4" borderId="0" xfId="0" applyFont="1" applyFill="1" applyBorder="1"/>
    <xf numFmtId="0" fontId="14" fillId="4" borderId="12" xfId="0" applyFont="1" applyFill="1" applyBorder="1"/>
    <xf numFmtId="0" fontId="18" fillId="2" borderId="17" xfId="0" applyFont="1" applyFill="1" applyBorder="1" applyAlignment="1">
      <alignment horizontal="center" wrapText="1"/>
    </xf>
    <xf numFmtId="0" fontId="14" fillId="0" borderId="17" xfId="0" applyFont="1" applyBorder="1"/>
    <xf numFmtId="0" fontId="14" fillId="0" borderId="0" xfId="0" applyFont="1" applyBorder="1"/>
    <xf numFmtId="0" fontId="21" fillId="5" borderId="13" xfId="0" applyFont="1" applyFill="1" applyBorder="1" applyAlignment="1">
      <alignment horizontal="center" vertical="center"/>
    </xf>
    <xf numFmtId="0" fontId="14" fillId="0" borderId="23" xfId="0" applyFont="1" applyBorder="1"/>
    <xf numFmtId="0" fontId="14" fillId="0" borderId="16" xfId="0" applyFont="1" applyBorder="1"/>
    <xf numFmtId="0" fontId="15" fillId="5" borderId="19" xfId="0" applyFont="1" applyFill="1" applyBorder="1" applyAlignment="1">
      <alignment horizontal="center" vertical="center" wrapText="1"/>
    </xf>
    <xf numFmtId="0" fontId="15" fillId="5" borderId="24" xfId="0" applyFont="1" applyFill="1" applyBorder="1" applyAlignment="1">
      <alignment horizontal="center" vertical="center" wrapText="1"/>
    </xf>
    <xf numFmtId="0" fontId="39" fillId="3" borderId="24" xfId="0" applyFont="1" applyFill="1" applyBorder="1" applyAlignment="1">
      <alignment horizontal="center" vertical="center" wrapText="1"/>
    </xf>
    <xf numFmtId="0" fontId="39" fillId="4" borderId="11" xfId="0" applyFont="1" applyFill="1" applyBorder="1"/>
    <xf numFmtId="0" fontId="39" fillId="3" borderId="23" xfId="0" applyFont="1" applyFill="1" applyBorder="1" applyAlignment="1">
      <alignment horizontal="center" vertical="center" wrapText="1"/>
    </xf>
    <xf numFmtId="0" fontId="39" fillId="4" borderId="16" xfId="0" applyFont="1" applyFill="1" applyBorder="1"/>
    <xf numFmtId="0" fontId="39" fillId="3" borderId="34" xfId="0" applyFont="1" applyFill="1" applyBorder="1" applyAlignment="1">
      <alignment horizontal="center" vertical="center" wrapText="1"/>
    </xf>
    <xf numFmtId="0" fontId="39" fillId="4" borderId="27" xfId="0" applyFont="1" applyFill="1" applyBorder="1"/>
    <xf numFmtId="0" fontId="14" fillId="0" borderId="20" xfId="0" applyFont="1" applyBorder="1"/>
    <xf numFmtId="0" fontId="14" fillId="0" borderId="21" xfId="0" applyFont="1" applyBorder="1"/>
    <xf numFmtId="0" fontId="15" fillId="5" borderId="108" xfId="0" applyFont="1" applyFill="1" applyBorder="1" applyAlignment="1">
      <alignment horizontal="center" vertical="center" wrapText="1"/>
    </xf>
    <xf numFmtId="0" fontId="14" fillId="0" borderId="109" xfId="0" applyFont="1" applyBorder="1"/>
    <xf numFmtId="0" fontId="14" fillId="0" borderId="110" xfId="0" applyFont="1" applyBorder="1"/>
    <xf numFmtId="0" fontId="39" fillId="70" borderId="16" xfId="0" applyFont="1" applyFill="1" applyBorder="1" applyAlignment="1">
      <alignment horizontal="center" vertical="center" wrapText="1"/>
    </xf>
    <xf numFmtId="0" fontId="14" fillId="69" borderId="18" xfId="0" applyFont="1" applyFill="1" applyBorder="1"/>
    <xf numFmtId="0" fontId="39" fillId="5" borderId="24" xfId="0" applyFont="1" applyFill="1" applyBorder="1" applyAlignment="1">
      <alignment horizontal="center" vertical="center" wrapText="1"/>
    </xf>
    <xf numFmtId="0" fontId="14" fillId="0" borderId="24" xfId="0" applyFont="1" applyBorder="1"/>
    <xf numFmtId="0" fontId="14" fillId="0" borderId="11" xfId="0" applyFont="1" applyBorder="1"/>
    <xf numFmtId="0" fontId="21" fillId="5" borderId="15" xfId="0" applyFont="1" applyFill="1" applyBorder="1" applyAlignment="1">
      <alignment horizontal="center" vertical="center" wrapText="1"/>
    </xf>
    <xf numFmtId="0" fontId="14" fillId="0" borderId="12" xfId="0" applyFont="1" applyBorder="1"/>
    <xf numFmtId="0" fontId="21" fillId="5" borderId="19"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39" fillId="5" borderId="22" xfId="0" applyFont="1" applyFill="1" applyBorder="1" applyAlignment="1">
      <alignment horizontal="center" vertical="center" wrapText="1"/>
    </xf>
    <xf numFmtId="0" fontId="39" fillId="0" borderId="20" xfId="0" applyFont="1" applyBorder="1"/>
    <xf numFmtId="0" fontId="39" fillId="5" borderId="19" xfId="0" applyFont="1" applyFill="1" applyBorder="1" applyAlignment="1">
      <alignment horizontal="center" vertical="center" wrapText="1"/>
    </xf>
    <xf numFmtId="0" fontId="39" fillId="0" borderId="11" xfId="0" applyFont="1" applyBorder="1"/>
    <xf numFmtId="0" fontId="39" fillId="5" borderId="13" xfId="0" applyFont="1" applyFill="1" applyBorder="1" applyAlignment="1">
      <alignment horizontal="center" vertical="center" wrapText="1"/>
    </xf>
    <xf numFmtId="0" fontId="39" fillId="0" borderId="16" xfId="0" applyFont="1" applyBorder="1"/>
    <xf numFmtId="0" fontId="105" fillId="3" borderId="58" xfId="0" applyFont="1" applyFill="1" applyBorder="1" applyAlignment="1">
      <alignment horizontal="center" vertical="center" wrapText="1"/>
    </xf>
    <xf numFmtId="0" fontId="105" fillId="3" borderId="34" xfId="0" applyFont="1" applyFill="1" applyBorder="1" applyAlignment="1">
      <alignment horizontal="center" vertical="center" wrapText="1"/>
    </xf>
    <xf numFmtId="0" fontId="18" fillId="3" borderId="0" xfId="0" applyFont="1" applyFill="1" applyBorder="1" applyAlignment="1">
      <alignment horizontal="center" wrapText="1"/>
    </xf>
    <xf numFmtId="0" fontId="18" fillId="3" borderId="12" xfId="0" applyFont="1" applyFill="1" applyBorder="1" applyAlignment="1">
      <alignment horizontal="center" wrapText="1"/>
    </xf>
    <xf numFmtId="0" fontId="13" fillId="4" borderId="23" xfId="0" applyFont="1" applyFill="1" applyBorder="1" applyAlignment="1">
      <alignment horizontal="center"/>
    </xf>
    <xf numFmtId="0" fontId="13" fillId="4" borderId="0" xfId="0" applyFont="1" applyFill="1" applyBorder="1" applyAlignment="1">
      <alignment horizontal="center"/>
    </xf>
    <xf numFmtId="0" fontId="13" fillId="4" borderId="12" xfId="0" applyFont="1" applyFill="1" applyBorder="1" applyAlignment="1">
      <alignment horizontal="center"/>
    </xf>
    <xf numFmtId="0" fontId="13" fillId="4" borderId="16" xfId="0" applyFont="1" applyFill="1" applyBorder="1" applyAlignment="1">
      <alignment horizontal="center"/>
    </xf>
    <xf numFmtId="0" fontId="13" fillId="4" borderId="17" xfId="0" applyFont="1" applyFill="1" applyBorder="1" applyAlignment="1">
      <alignment horizontal="center"/>
    </xf>
    <xf numFmtId="0" fontId="13" fillId="4" borderId="18" xfId="0" applyFont="1" applyFill="1" applyBorder="1" applyAlignment="1">
      <alignment horizontal="center"/>
    </xf>
    <xf numFmtId="44" fontId="13" fillId="0" borderId="0" xfId="3" applyNumberFormat="1" applyFont="1" applyFill="1" applyBorder="1" applyAlignment="1" applyProtection="1">
      <alignment horizontal="center" vertical="center" wrapText="1"/>
    </xf>
    <xf numFmtId="0" fontId="18" fillId="3" borderId="27" xfId="0" applyFont="1" applyFill="1" applyBorder="1" applyAlignment="1">
      <alignment horizontal="center" vertical="center"/>
    </xf>
    <xf numFmtId="0" fontId="15" fillId="5" borderId="15" xfId="0" applyFont="1" applyFill="1" applyBorder="1" applyAlignment="1">
      <alignment horizontal="center" vertical="center" wrapText="1"/>
    </xf>
    <xf numFmtId="0" fontId="37" fillId="5" borderId="19" xfId="0" applyFont="1" applyFill="1" applyBorder="1" applyAlignment="1">
      <alignment horizontal="center" vertical="center" wrapText="1"/>
    </xf>
    <xf numFmtId="44" fontId="14" fillId="10" borderId="0" xfId="3" applyNumberFormat="1" applyFont="1" applyFill="1" applyBorder="1" applyAlignment="1" applyProtection="1">
      <alignment horizontal="center" vertical="center" wrapText="1"/>
    </xf>
    <xf numFmtId="44" fontId="14" fillId="10" borderId="7" xfId="3" applyNumberFormat="1" applyFont="1" applyFill="1" applyBorder="1" applyAlignment="1" applyProtection="1">
      <alignment horizontal="center" vertical="center" wrapText="1"/>
    </xf>
    <xf numFmtId="44" fontId="14" fillId="10" borderId="9" xfId="3" applyNumberFormat="1" applyFont="1" applyFill="1" applyBorder="1" applyAlignment="1" applyProtection="1">
      <alignment horizontal="center" vertical="center" wrapText="1"/>
    </xf>
    <xf numFmtId="0" fontId="18" fillId="5" borderId="47" xfId="0" applyFont="1" applyFill="1" applyBorder="1" applyAlignment="1">
      <alignment horizontal="center" vertical="center" wrapText="1"/>
    </xf>
    <xf numFmtId="0" fontId="18" fillId="5" borderId="48" xfId="0" applyFont="1" applyFill="1" applyBorder="1" applyAlignment="1">
      <alignment horizontal="center" vertical="center" wrapText="1"/>
    </xf>
    <xf numFmtId="0" fontId="18" fillId="5" borderId="49" xfId="0" applyFont="1" applyFill="1" applyBorder="1" applyAlignment="1">
      <alignment horizontal="center" vertical="center" wrapText="1"/>
    </xf>
    <xf numFmtId="0" fontId="34" fillId="16" borderId="54" xfId="0" applyFont="1" applyFill="1" applyBorder="1" applyAlignment="1">
      <alignment horizontal="left" vertical="center" wrapText="1"/>
    </xf>
    <xf numFmtId="0" fontId="15" fillId="16" borderId="55" xfId="0" applyFont="1" applyFill="1" applyBorder="1" applyAlignment="1">
      <alignment horizontal="right" vertical="center" wrapText="1"/>
    </xf>
    <xf numFmtId="0" fontId="15" fillId="16" borderId="56" xfId="0" applyFont="1" applyFill="1" applyBorder="1" applyAlignment="1">
      <alignment horizontal="right" vertical="center" wrapText="1"/>
    </xf>
    <xf numFmtId="0" fontId="34" fillId="16" borderId="46" xfId="0" applyFont="1" applyFill="1" applyBorder="1" applyAlignment="1">
      <alignment horizontal="left" vertical="center" wrapText="1"/>
    </xf>
    <xf numFmtId="0" fontId="15" fillId="16" borderId="14" xfId="0" applyFont="1" applyFill="1" applyBorder="1" applyAlignment="1">
      <alignment horizontal="right" vertical="center" wrapText="1"/>
    </xf>
    <xf numFmtId="0" fontId="16" fillId="0" borderId="22" xfId="0" applyFont="1" applyBorder="1" applyAlignment="1">
      <alignment horizontal="left" vertical="center" wrapText="1"/>
    </xf>
    <xf numFmtId="0" fontId="16" fillId="0" borderId="20" xfId="0" applyFont="1" applyBorder="1" applyAlignment="1">
      <alignment horizontal="left" vertical="center" wrapText="1"/>
    </xf>
    <xf numFmtId="0" fontId="16" fillId="0" borderId="21" xfId="0" applyFont="1" applyBorder="1" applyAlignment="1">
      <alignment horizontal="left" vertical="center" wrapText="1"/>
    </xf>
    <xf numFmtId="0" fontId="18" fillId="16" borderId="22" xfId="0" applyFont="1" applyFill="1" applyBorder="1" applyAlignment="1">
      <alignment horizontal="center" wrapText="1"/>
    </xf>
    <xf numFmtId="0" fontId="18" fillId="16" borderId="20" xfId="0" applyFont="1" applyFill="1" applyBorder="1" applyAlignment="1">
      <alignment horizontal="center" wrapText="1"/>
    </xf>
    <xf numFmtId="0" fontId="18" fillId="16" borderId="21" xfId="0" applyFont="1" applyFill="1" applyBorder="1" applyAlignment="1">
      <alignment horizontal="center" wrapText="1"/>
    </xf>
    <xf numFmtId="0" fontId="16" fillId="0" borderId="118" xfId="0" applyFont="1" applyBorder="1" applyAlignment="1" applyProtection="1">
      <alignment horizontal="left" vertical="center" wrapText="1"/>
    </xf>
    <xf numFmtId="0" fontId="16" fillId="0" borderId="3" xfId="0" applyFont="1" applyBorder="1" applyAlignment="1" applyProtection="1">
      <alignment horizontal="left" vertical="center" wrapText="1"/>
    </xf>
    <xf numFmtId="0" fontId="16" fillId="0" borderId="4" xfId="0" applyFont="1" applyBorder="1" applyAlignment="1" applyProtection="1">
      <alignment horizontal="left" vertical="center" wrapText="1"/>
    </xf>
    <xf numFmtId="0" fontId="14" fillId="0" borderId="35" xfId="0" applyFont="1" applyFill="1" applyBorder="1" applyAlignment="1" applyProtection="1">
      <alignment vertical="center"/>
    </xf>
    <xf numFmtId="0" fontId="14" fillId="0" borderId="60" xfId="0" applyFont="1" applyFill="1" applyBorder="1" applyAlignment="1" applyProtection="1">
      <alignment vertical="center"/>
    </xf>
    <xf numFmtId="0" fontId="14" fillId="0" borderId="25" xfId="0" applyFont="1" applyFill="1" applyBorder="1" applyAlignment="1" applyProtection="1">
      <alignment vertical="center"/>
    </xf>
    <xf numFmtId="0" fontId="14" fillId="0" borderId="35" xfId="0" applyFont="1" applyBorder="1" applyAlignment="1" applyProtection="1">
      <alignment vertical="center"/>
    </xf>
    <xf numFmtId="0" fontId="14" fillId="0" borderId="60" xfId="0" applyFont="1" applyBorder="1" applyAlignment="1" applyProtection="1">
      <alignment vertical="center"/>
    </xf>
    <xf numFmtId="0" fontId="14" fillId="0" borderId="25" xfId="0" applyFont="1" applyBorder="1" applyAlignment="1" applyProtection="1">
      <alignment vertical="center"/>
    </xf>
    <xf numFmtId="0" fontId="28" fillId="16" borderId="50" xfId="0" applyFont="1" applyFill="1" applyBorder="1" applyAlignment="1">
      <alignment horizontal="left"/>
    </xf>
    <xf numFmtId="0" fontId="16" fillId="0" borderId="27" xfId="0" applyFont="1" applyBorder="1" applyAlignment="1" applyProtection="1">
      <alignment horizontal="left" vertical="center" wrapText="1"/>
    </xf>
    <xf numFmtId="0" fontId="13" fillId="0" borderId="35" xfId="0" applyFont="1" applyBorder="1" applyAlignment="1" applyProtection="1">
      <alignment vertical="center"/>
    </xf>
    <xf numFmtId="0" fontId="13" fillId="0" borderId="60" xfId="0" applyFont="1" applyBorder="1" applyAlignment="1" applyProtection="1">
      <alignment vertical="center"/>
    </xf>
    <xf numFmtId="0" fontId="13" fillId="0" borderId="25" xfId="0" applyFont="1" applyBorder="1" applyAlignment="1" applyProtection="1">
      <alignment vertical="center"/>
    </xf>
    <xf numFmtId="0" fontId="14" fillId="0" borderId="27" xfId="0" applyFont="1" applyBorder="1" applyAlignment="1" applyProtection="1">
      <alignment vertical="center"/>
    </xf>
    <xf numFmtId="0" fontId="18" fillId="0" borderId="22" xfId="0" applyFont="1" applyBorder="1" applyAlignment="1">
      <alignment horizontal="left" vertical="center" wrapText="1"/>
    </xf>
    <xf numFmtId="0" fontId="18" fillId="0" borderId="20" xfId="0" applyFont="1" applyBorder="1" applyAlignment="1">
      <alignment horizontal="left" vertical="center" wrapText="1"/>
    </xf>
    <xf numFmtId="0" fontId="18" fillId="0" borderId="21" xfId="0" applyFont="1" applyBorder="1" applyAlignment="1">
      <alignment horizontal="left" vertical="center" wrapText="1"/>
    </xf>
    <xf numFmtId="0" fontId="16" fillId="0" borderId="22" xfId="0" applyFont="1" applyBorder="1" applyAlignment="1">
      <alignment horizontal="left" wrapText="1"/>
    </xf>
    <xf numFmtId="0" fontId="16" fillId="0" borderId="20" xfId="0" applyFont="1" applyBorder="1" applyAlignment="1">
      <alignment horizontal="left" wrapText="1"/>
    </xf>
    <xf numFmtId="0" fontId="16" fillId="0" borderId="21" xfId="0" applyFont="1" applyBorder="1" applyAlignment="1">
      <alignment horizontal="left" wrapText="1"/>
    </xf>
    <xf numFmtId="0" fontId="15" fillId="16" borderId="51" xfId="0" applyFont="1" applyFill="1" applyBorder="1" applyAlignment="1">
      <alignment horizontal="right" vertical="center" wrapText="1"/>
    </xf>
    <xf numFmtId="0" fontId="16" fillId="0" borderId="22" xfId="0" applyFont="1" applyBorder="1" applyAlignment="1">
      <alignment vertical="center" wrapText="1"/>
    </xf>
    <xf numFmtId="0" fontId="16" fillId="0" borderId="20" xfId="0" applyFont="1" applyBorder="1" applyAlignment="1">
      <alignment vertical="center" wrapText="1"/>
    </xf>
    <xf numFmtId="0" fontId="16" fillId="0" borderId="21" xfId="0" applyFont="1" applyBorder="1" applyAlignment="1">
      <alignment vertical="center" wrapText="1"/>
    </xf>
    <xf numFmtId="0" fontId="12" fillId="0" borderId="0" xfId="0" applyFont="1" applyAlignment="1">
      <alignment horizontal="center"/>
    </xf>
    <xf numFmtId="0" fontId="16" fillId="16" borderId="0" xfId="0" applyFont="1" applyFill="1" applyBorder="1" applyAlignment="1">
      <alignment horizontal="center"/>
    </xf>
    <xf numFmtId="0" fontId="18" fillId="5" borderId="62" xfId="0" applyFont="1" applyFill="1" applyBorder="1" applyAlignment="1">
      <alignment horizontal="center" vertical="center"/>
    </xf>
    <xf numFmtId="0" fontId="18" fillId="5" borderId="63" xfId="0" applyFont="1" applyFill="1" applyBorder="1" applyAlignment="1">
      <alignment horizontal="center" vertical="center"/>
    </xf>
    <xf numFmtId="0" fontId="18" fillId="5" borderId="64" xfId="0" applyFont="1" applyFill="1" applyBorder="1" applyAlignment="1">
      <alignment horizontal="center" vertical="center"/>
    </xf>
    <xf numFmtId="0" fontId="18" fillId="5" borderId="65" xfId="0" applyFont="1" applyFill="1" applyBorder="1" applyAlignment="1">
      <alignment horizontal="center" vertical="center"/>
    </xf>
    <xf numFmtId="0" fontId="18" fillId="5" borderId="66" xfId="0" applyFont="1" applyFill="1" applyBorder="1" applyAlignment="1">
      <alignment horizontal="center" vertical="center"/>
    </xf>
    <xf numFmtId="0" fontId="18" fillId="5" borderId="67" xfId="0" applyFont="1" applyFill="1" applyBorder="1" applyAlignment="1">
      <alignment horizontal="center" vertical="center"/>
    </xf>
    <xf numFmtId="0" fontId="16" fillId="16" borderId="13" xfId="0" applyFont="1" applyFill="1" applyBorder="1" applyAlignment="1">
      <alignment horizontal="center" vertical="center" wrapText="1"/>
    </xf>
    <xf numFmtId="0" fontId="16" fillId="16" borderId="14" xfId="0" applyFont="1" applyFill="1" applyBorder="1" applyAlignment="1">
      <alignment horizontal="center" vertical="center" wrapText="1"/>
    </xf>
    <xf numFmtId="0" fontId="16" fillId="16" borderId="15" xfId="0" applyFont="1" applyFill="1" applyBorder="1" applyAlignment="1">
      <alignment horizontal="center" vertical="center" wrapText="1"/>
    </xf>
    <xf numFmtId="0" fontId="16" fillId="16" borderId="16" xfId="0" applyFont="1" applyFill="1" applyBorder="1" applyAlignment="1">
      <alignment horizontal="center" vertical="center" wrapText="1"/>
    </xf>
    <xf numFmtId="0" fontId="16" fillId="16" borderId="17" xfId="0" applyFont="1" applyFill="1" applyBorder="1" applyAlignment="1">
      <alignment horizontal="center" vertical="center" wrapText="1"/>
    </xf>
    <xf numFmtId="0" fontId="16" fillId="16" borderId="18" xfId="0" applyFont="1" applyFill="1" applyBorder="1" applyAlignment="1">
      <alignment horizontal="center" vertical="center" wrapText="1"/>
    </xf>
    <xf numFmtId="0" fontId="18" fillId="5" borderId="36" xfId="0" applyFont="1" applyFill="1" applyBorder="1" applyAlignment="1">
      <alignment horizontal="center" vertical="center"/>
    </xf>
    <xf numFmtId="0" fontId="18" fillId="5" borderId="68" xfId="0" applyFont="1" applyFill="1" applyBorder="1" applyAlignment="1">
      <alignment horizontal="center" vertical="center"/>
    </xf>
    <xf numFmtId="0" fontId="18" fillId="5" borderId="37" xfId="0" applyFont="1" applyFill="1" applyBorder="1" applyAlignment="1">
      <alignment horizontal="center" vertical="center"/>
    </xf>
    <xf numFmtId="0" fontId="16" fillId="69" borderId="35" xfId="0" applyFont="1" applyFill="1" applyBorder="1" applyAlignment="1">
      <alignment horizontal="center" vertical="center" wrapText="1"/>
    </xf>
    <xf numFmtId="0" fontId="16" fillId="69" borderId="60" xfId="0" applyFont="1" applyFill="1" applyBorder="1" applyAlignment="1">
      <alignment horizontal="center" vertical="center" wrapText="1"/>
    </xf>
    <xf numFmtId="0" fontId="16" fillId="69" borderId="25" xfId="0" applyFont="1" applyFill="1" applyBorder="1" applyAlignment="1">
      <alignment horizontal="center" vertical="center" wrapText="1"/>
    </xf>
    <xf numFmtId="0" fontId="112" fillId="0" borderId="22" xfId="0" applyFont="1" applyBorder="1" applyAlignment="1">
      <alignment vertical="center" wrapText="1"/>
    </xf>
    <xf numFmtId="0" fontId="112" fillId="0" borderId="20" xfId="0" applyFont="1" applyBorder="1" applyAlignment="1">
      <alignment vertical="center" wrapText="1"/>
    </xf>
    <xf numFmtId="0" fontId="112" fillId="0" borderId="21" xfId="0" applyFont="1" applyBorder="1" applyAlignment="1">
      <alignment vertical="center" wrapText="1"/>
    </xf>
    <xf numFmtId="0" fontId="111" fillId="16" borderId="14" xfId="0" applyFont="1" applyFill="1" applyBorder="1" applyAlignment="1">
      <alignment horizontal="right" vertical="center" wrapText="1"/>
    </xf>
    <xf numFmtId="0" fontId="111" fillId="16" borderId="51" xfId="0" applyFont="1" applyFill="1" applyBorder="1" applyAlignment="1">
      <alignment horizontal="right" vertical="center" wrapText="1"/>
    </xf>
    <xf numFmtId="0" fontId="18" fillId="71" borderId="36" xfId="0" applyFont="1" applyFill="1" applyBorder="1" applyAlignment="1">
      <alignment horizontal="center" vertical="center"/>
    </xf>
    <xf numFmtId="0" fontId="18" fillId="71" borderId="68" xfId="0" applyFont="1" applyFill="1" applyBorder="1" applyAlignment="1">
      <alignment horizontal="center" vertical="center"/>
    </xf>
    <xf numFmtId="0" fontId="18" fillId="71" borderId="37" xfId="0" applyFont="1" applyFill="1" applyBorder="1" applyAlignment="1">
      <alignment horizontal="center" vertical="center"/>
    </xf>
    <xf numFmtId="0" fontId="110" fillId="16" borderId="50" xfId="0" applyFont="1" applyFill="1" applyBorder="1" applyAlignment="1">
      <alignment horizontal="left"/>
    </xf>
    <xf numFmtId="0" fontId="112" fillId="0" borderId="22" xfId="0" applyFont="1" applyBorder="1" applyAlignment="1">
      <alignment horizontal="left" vertical="center" wrapText="1"/>
    </xf>
    <xf numFmtId="0" fontId="112" fillId="0" borderId="20" xfId="0" applyFont="1" applyBorder="1" applyAlignment="1">
      <alignment horizontal="left" vertical="center" wrapText="1"/>
    </xf>
    <xf numFmtId="0" fontId="112" fillId="0" borderId="21" xfId="0" applyFont="1" applyBorder="1" applyAlignment="1">
      <alignment horizontal="left" vertical="center" wrapText="1"/>
    </xf>
    <xf numFmtId="0" fontId="43" fillId="0" borderId="69" xfId="3" applyFont="1" applyFill="1" applyBorder="1" applyAlignment="1" applyProtection="1">
      <alignment horizontal="left" wrapText="1"/>
    </xf>
    <xf numFmtId="0" fontId="18" fillId="14" borderId="36" xfId="0" applyFont="1" applyFill="1" applyBorder="1" applyAlignment="1" applyProtection="1">
      <alignment horizontal="center"/>
    </xf>
    <xf numFmtId="0" fontId="18" fillId="14" borderId="68" xfId="0" applyFont="1" applyFill="1" applyBorder="1" applyAlignment="1" applyProtection="1">
      <alignment horizontal="center"/>
    </xf>
    <xf numFmtId="0" fontId="18" fillId="14" borderId="37" xfId="0" applyFont="1" applyFill="1" applyBorder="1" applyAlignment="1" applyProtection="1">
      <alignment horizontal="center"/>
    </xf>
    <xf numFmtId="0" fontId="16" fillId="10" borderId="123" xfId="0" applyFont="1" applyFill="1" applyBorder="1" applyAlignment="1" applyProtection="1">
      <alignment horizontal="left"/>
    </xf>
    <xf numFmtId="0" fontId="16" fillId="10" borderId="60" xfId="0" applyFont="1" applyFill="1" applyBorder="1" applyAlignment="1" applyProtection="1">
      <alignment horizontal="left"/>
    </xf>
    <xf numFmtId="0" fontId="16" fillId="10" borderId="124" xfId="0" applyFont="1" applyFill="1" applyBorder="1" applyAlignment="1" applyProtection="1">
      <alignment horizontal="left"/>
    </xf>
    <xf numFmtId="0" fontId="16" fillId="10" borderId="126" xfId="0" applyFont="1" applyFill="1" applyBorder="1" applyAlignment="1" applyProtection="1">
      <alignment horizontal="left"/>
    </xf>
    <xf numFmtId="0" fontId="16" fillId="10" borderId="127" xfId="0" applyFont="1" applyFill="1" applyBorder="1" applyAlignment="1" applyProtection="1">
      <alignment horizontal="left"/>
    </xf>
    <xf numFmtId="0" fontId="16" fillId="10" borderId="128" xfId="0" applyFont="1" applyFill="1" applyBorder="1" applyAlignment="1" applyProtection="1">
      <alignment horizontal="left"/>
    </xf>
    <xf numFmtId="0" fontId="18" fillId="0" borderId="36" xfId="0" applyFont="1" applyBorder="1" applyAlignment="1" applyProtection="1">
      <alignment horizontal="right" vertical="center"/>
    </xf>
    <xf numFmtId="0" fontId="18" fillId="0" borderId="68" xfId="0" applyFont="1" applyBorder="1" applyAlignment="1" applyProtection="1">
      <alignment horizontal="right" vertical="center"/>
    </xf>
    <xf numFmtId="0" fontId="18" fillId="0" borderId="37" xfId="0" applyFont="1" applyBorder="1" applyAlignment="1" applyProtection="1">
      <alignment horizontal="right" vertical="center"/>
    </xf>
    <xf numFmtId="0" fontId="26" fillId="2" borderId="69" xfId="0" applyFont="1" applyFill="1" applyBorder="1" applyAlignment="1" applyProtection="1">
      <alignment horizontal="left"/>
    </xf>
    <xf numFmtId="0" fontId="27" fillId="10" borderId="130" xfId="0" applyFont="1" applyFill="1" applyBorder="1" applyAlignment="1" applyProtection="1">
      <alignment horizontal="left"/>
    </xf>
    <xf numFmtId="0" fontId="86" fillId="2" borderId="0" xfId="0" applyFont="1" applyFill="1" applyBorder="1" applyAlignment="1" applyProtection="1">
      <alignment horizontal="left" wrapText="1"/>
    </xf>
    <xf numFmtId="0" fontId="63" fillId="0" borderId="0" xfId="0" applyFont="1" applyBorder="1" applyProtection="1"/>
    <xf numFmtId="0" fontId="88" fillId="10" borderId="131" xfId="0" applyFont="1" applyFill="1" applyBorder="1" applyAlignment="1" applyProtection="1">
      <alignment horizontal="left" vertical="center" wrapText="1"/>
    </xf>
    <xf numFmtId="0" fontId="27" fillId="10" borderId="131" xfId="0" applyFont="1" applyFill="1" applyBorder="1" applyAlignment="1" applyProtection="1">
      <alignment horizontal="left" vertical="center" wrapText="1"/>
    </xf>
    <xf numFmtId="0" fontId="27" fillId="10" borderId="132" xfId="0" applyFont="1" applyFill="1" applyBorder="1" applyAlignment="1" applyProtection="1">
      <alignment horizontal="left" vertical="center" wrapText="1"/>
    </xf>
    <xf numFmtId="0" fontId="88" fillId="10" borderId="133" xfId="0" applyFont="1" applyFill="1" applyBorder="1" applyAlignment="1" applyProtection="1">
      <alignment horizontal="left" vertical="center" wrapText="1"/>
    </xf>
    <xf numFmtId="0" fontId="27" fillId="10" borderId="133" xfId="0" applyFont="1" applyFill="1" applyBorder="1" applyAlignment="1" applyProtection="1">
      <alignment horizontal="left" vertical="center" wrapText="1"/>
    </xf>
    <xf numFmtId="0" fontId="18" fillId="0" borderId="36" xfId="0" applyFont="1" applyBorder="1" applyAlignment="1" applyProtection="1">
      <alignment horizontal="center" vertical="center"/>
    </xf>
    <xf numFmtId="0" fontId="18" fillId="0" borderId="68" xfId="0" applyFont="1" applyBorder="1" applyAlignment="1" applyProtection="1">
      <alignment horizontal="center" vertical="center"/>
    </xf>
    <xf numFmtId="0" fontId="18" fillId="0" borderId="37" xfId="0" applyFont="1" applyBorder="1" applyAlignment="1" applyProtection="1">
      <alignment horizontal="center" vertical="center"/>
    </xf>
    <xf numFmtId="0" fontId="16" fillId="10" borderId="119" xfId="0" applyFont="1" applyFill="1" applyBorder="1" applyAlignment="1" applyProtection="1">
      <alignment horizontal="left"/>
    </xf>
    <xf numFmtId="0" fontId="16" fillId="10" borderId="120" xfId="0" applyFont="1" applyFill="1" applyBorder="1" applyAlignment="1" applyProtection="1">
      <alignment horizontal="left"/>
    </xf>
    <xf numFmtId="0" fontId="16" fillId="10" borderId="121" xfId="0" applyFont="1" applyFill="1" applyBorder="1" applyAlignment="1" applyProtection="1">
      <alignment horizontal="left"/>
    </xf>
    <xf numFmtId="0" fontId="13" fillId="14" borderId="35" xfId="3" applyFont="1" applyFill="1" applyBorder="1" applyAlignment="1" applyProtection="1">
      <alignment horizontal="center" vertical="center" wrapText="1"/>
    </xf>
    <xf numFmtId="0" fontId="13" fillId="14" borderId="60" xfId="3" applyFont="1" applyFill="1" applyBorder="1" applyAlignment="1" applyProtection="1">
      <alignment horizontal="center" vertical="center" wrapText="1"/>
    </xf>
    <xf numFmtId="0" fontId="13" fillId="14" borderId="25" xfId="3" applyFont="1" applyFill="1" applyBorder="1" applyAlignment="1" applyProtection="1">
      <alignment horizontal="center" vertical="center" wrapText="1"/>
    </xf>
    <xf numFmtId="0" fontId="83" fillId="10" borderId="0" xfId="0" applyFont="1" applyFill="1" applyBorder="1" applyAlignment="1" applyProtection="1">
      <alignment horizontal="center"/>
    </xf>
    <xf numFmtId="0" fontId="16" fillId="10" borderId="0" xfId="0" applyFont="1" applyFill="1" applyBorder="1" applyAlignment="1" applyProtection="1">
      <alignment horizontal="center" wrapText="1"/>
    </xf>
    <xf numFmtId="0" fontId="18" fillId="10" borderId="0" xfId="0" applyFont="1" applyFill="1" applyBorder="1" applyAlignment="1" applyProtection="1">
      <alignment horizontal="center"/>
    </xf>
    <xf numFmtId="0" fontId="18" fillId="63" borderId="2" xfId="0" applyFont="1" applyFill="1" applyBorder="1" applyAlignment="1" applyProtection="1">
      <alignment horizontal="center"/>
    </xf>
    <xf numFmtId="0" fontId="18" fillId="63" borderId="3" xfId="0" applyFont="1" applyFill="1" applyBorder="1" applyAlignment="1" applyProtection="1">
      <alignment horizontal="center"/>
    </xf>
    <xf numFmtId="0" fontId="18" fillId="63" borderId="4" xfId="0" applyFont="1" applyFill="1" applyBorder="1" applyAlignment="1" applyProtection="1">
      <alignment horizontal="center"/>
    </xf>
    <xf numFmtId="0" fontId="18" fillId="63" borderId="7" xfId="0" applyFont="1" applyFill="1" applyBorder="1" applyAlignment="1" applyProtection="1">
      <alignment horizontal="center"/>
    </xf>
    <xf numFmtId="0" fontId="18" fillId="63" borderId="8" xfId="0" applyFont="1" applyFill="1" applyBorder="1" applyAlignment="1" applyProtection="1">
      <alignment horizontal="center"/>
    </xf>
    <xf numFmtId="0" fontId="18" fillId="63" borderId="9" xfId="0" applyFont="1" applyFill="1" applyBorder="1" applyAlignment="1" applyProtection="1">
      <alignment horizontal="center"/>
    </xf>
    <xf numFmtId="0" fontId="14" fillId="0" borderId="48" xfId="0" applyFont="1" applyBorder="1"/>
    <xf numFmtId="0" fontId="14" fillId="0" borderId="49" xfId="0" applyFont="1" applyBorder="1"/>
    <xf numFmtId="0" fontId="16" fillId="0" borderId="35" xfId="0" applyFont="1" applyBorder="1" applyAlignment="1">
      <alignment horizontal="left" vertical="center" wrapText="1"/>
    </xf>
    <xf numFmtId="0" fontId="16" fillId="0" borderId="60" xfId="0" applyFont="1" applyBorder="1" applyAlignment="1">
      <alignment horizontal="left" vertical="center" wrapText="1"/>
    </xf>
    <xf numFmtId="0" fontId="16" fillId="0" borderId="25" xfId="0" applyFont="1" applyBorder="1" applyAlignment="1">
      <alignment horizontal="left" vertical="center" wrapText="1"/>
    </xf>
    <xf numFmtId="0" fontId="8" fillId="0" borderId="0" xfId="0" applyFont="1" applyBorder="1" applyAlignment="1">
      <alignment horizontal="left" vertical="center" wrapText="1"/>
    </xf>
    <xf numFmtId="0" fontId="8" fillId="0" borderId="0" xfId="0" applyFont="1" applyAlignment="1">
      <alignment horizontal="left" vertical="center" wrapText="1"/>
    </xf>
    <xf numFmtId="0" fontId="8" fillId="57" borderId="35" xfId="0" applyFont="1" applyFill="1" applyBorder="1" applyAlignment="1">
      <alignment horizontal="center" vertical="center"/>
    </xf>
    <xf numFmtId="0" fontId="8" fillId="57" borderId="60" xfId="0" applyFont="1" applyFill="1" applyBorder="1" applyAlignment="1">
      <alignment horizontal="center" vertical="center"/>
    </xf>
    <xf numFmtId="0" fontId="8" fillId="57" borderId="25" xfId="0" applyFont="1" applyFill="1" applyBorder="1" applyAlignment="1">
      <alignment horizontal="center" vertical="center"/>
    </xf>
    <xf numFmtId="0" fontId="18" fillId="19" borderId="16" xfId="0" applyFont="1" applyFill="1" applyBorder="1" applyAlignment="1">
      <alignment horizontal="center"/>
    </xf>
    <xf numFmtId="0" fontId="14" fillId="14" borderId="17" xfId="0" applyFont="1" applyFill="1" applyBorder="1"/>
    <xf numFmtId="0" fontId="14" fillId="14" borderId="18" xfId="0" applyFont="1" applyFill="1" applyBorder="1"/>
    <xf numFmtId="0" fontId="16" fillId="2" borderId="0" xfId="0" applyFont="1" applyFill="1" applyBorder="1" applyAlignment="1">
      <alignment horizontal="center"/>
    </xf>
    <xf numFmtId="0" fontId="16" fillId="2" borderId="0" xfId="0" applyFont="1" applyFill="1" applyBorder="1" applyAlignment="1">
      <alignment horizontal="center" vertical="center" wrapText="1"/>
    </xf>
    <xf numFmtId="0" fontId="17" fillId="2" borderId="17" xfId="0" applyFont="1" applyFill="1" applyBorder="1" applyAlignment="1">
      <alignment horizontal="center" wrapText="1"/>
    </xf>
    <xf numFmtId="0" fontId="18" fillId="19" borderId="13" xfId="0" applyFont="1" applyFill="1" applyBorder="1" applyAlignment="1">
      <alignment horizontal="center"/>
    </xf>
    <xf numFmtId="0" fontId="14" fillId="14" borderId="14" xfId="0" applyFont="1" applyFill="1" applyBorder="1"/>
    <xf numFmtId="0" fontId="14" fillId="14" borderId="15" xfId="0" applyFont="1" applyFill="1" applyBorder="1"/>
    <xf numFmtId="0" fontId="8" fillId="0" borderId="35" xfId="0" applyFont="1" applyFill="1" applyBorder="1" applyAlignment="1" applyProtection="1">
      <alignment horizontal="left" vertical="center" wrapText="1"/>
    </xf>
    <xf numFmtId="0" fontId="8" fillId="0" borderId="60"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16" fillId="0" borderId="22" xfId="0" applyFont="1" applyFill="1" applyBorder="1" applyAlignment="1" applyProtection="1">
      <alignment horizontal="right" vertical="center"/>
    </xf>
    <xf numFmtId="0" fontId="16" fillId="0" borderId="14" xfId="0" applyFont="1" applyFill="1" applyBorder="1" applyAlignment="1" applyProtection="1">
      <alignment horizontal="right" vertical="center"/>
    </xf>
    <xf numFmtId="0" fontId="18" fillId="18" borderId="35" xfId="0" applyFont="1" applyFill="1" applyBorder="1" applyAlignment="1" applyProtection="1">
      <alignment horizontal="center" vertical="center" wrapText="1"/>
    </xf>
    <xf numFmtId="0" fontId="18" fillId="18" borderId="25" xfId="0" applyFont="1" applyFill="1" applyBorder="1" applyAlignment="1" applyProtection="1">
      <alignment horizontal="center" vertical="center" wrapText="1"/>
    </xf>
    <xf numFmtId="0" fontId="52" fillId="16" borderId="69" xfId="0" applyFont="1" applyFill="1" applyBorder="1" applyAlignment="1" applyProtection="1">
      <alignment horizontal="left"/>
    </xf>
    <xf numFmtId="0" fontId="53" fillId="16" borderId="0" xfId="0" applyFont="1" applyFill="1" applyBorder="1" applyAlignment="1" applyProtection="1">
      <alignment horizontal="center" vertical="center" wrapText="1"/>
    </xf>
    <xf numFmtId="0" fontId="10" fillId="28" borderId="71" xfId="0" applyFont="1" applyFill="1" applyBorder="1" applyAlignment="1" applyProtection="1">
      <alignment horizontal="center" vertical="center" wrapText="1"/>
    </xf>
    <xf numFmtId="0" fontId="10" fillId="28" borderId="72" xfId="0" applyFont="1" applyFill="1" applyBorder="1" applyAlignment="1" applyProtection="1">
      <alignment horizontal="center" vertical="center" wrapText="1"/>
    </xf>
    <xf numFmtId="0" fontId="8" fillId="0" borderId="22" xfId="0" applyFont="1" applyBorder="1" applyAlignment="1" applyProtection="1">
      <alignment horizontal="left" vertical="center" wrapText="1"/>
    </xf>
    <xf numFmtId="0" fontId="8" fillId="0" borderId="20" xfId="0" applyFont="1" applyBorder="1" applyAlignment="1" applyProtection="1">
      <alignment horizontal="left" vertical="center" wrapText="1"/>
    </xf>
    <xf numFmtId="0" fontId="8" fillId="8" borderId="20" xfId="0" applyFont="1" applyFill="1" applyBorder="1" applyAlignment="1" applyProtection="1">
      <alignment horizontal="center" vertical="center" wrapText="1"/>
    </xf>
    <xf numFmtId="0" fontId="8" fillId="8" borderId="18" xfId="0" applyFont="1" applyFill="1" applyBorder="1" applyAlignment="1" applyProtection="1">
      <alignment horizontal="center" vertical="center" wrapText="1"/>
    </xf>
    <xf numFmtId="0" fontId="16" fillId="8" borderId="22" xfId="0" applyFont="1" applyFill="1" applyBorder="1" applyAlignment="1" applyProtection="1">
      <alignment horizontal="right" vertical="center"/>
    </xf>
    <xf numFmtId="0" fontId="16" fillId="8" borderId="14" xfId="0" applyFont="1" applyFill="1" applyBorder="1" applyAlignment="1" applyProtection="1">
      <alignment horizontal="right" vertical="center"/>
    </xf>
    <xf numFmtId="0" fontId="18" fillId="27" borderId="36" xfId="0" applyFont="1" applyFill="1" applyBorder="1" applyAlignment="1" applyProtection="1">
      <alignment horizontal="center" vertical="center" wrapText="1"/>
    </xf>
    <xf numFmtId="0" fontId="18" fillId="27" borderId="68" xfId="0" applyFont="1" applyFill="1" applyBorder="1" applyAlignment="1" applyProtection="1">
      <alignment horizontal="center" vertical="center" wrapText="1"/>
    </xf>
    <xf numFmtId="0" fontId="18" fillId="27" borderId="37" xfId="0" applyFont="1" applyFill="1" applyBorder="1" applyAlignment="1" applyProtection="1">
      <alignment horizontal="center" vertical="center" wrapText="1"/>
    </xf>
    <xf numFmtId="0" fontId="49" fillId="16" borderId="0" xfId="0" applyFont="1" applyFill="1" applyBorder="1" applyAlignment="1" applyProtection="1">
      <alignment horizontal="center" wrapText="1"/>
    </xf>
    <xf numFmtId="0" fontId="16" fillId="16" borderId="0" xfId="0" applyFont="1" applyFill="1" applyBorder="1" applyAlignment="1" applyProtection="1">
      <alignment horizontal="center" vertical="center" wrapText="1"/>
    </xf>
    <xf numFmtId="0" fontId="16" fillId="16" borderId="0" xfId="0" applyFont="1" applyFill="1" applyBorder="1" applyAlignment="1" applyProtection="1">
      <alignment horizontal="center" vertical="top" wrapText="1"/>
    </xf>
    <xf numFmtId="0" fontId="18" fillId="27" borderId="62" xfId="0" applyFont="1" applyFill="1" applyBorder="1" applyAlignment="1" applyProtection="1">
      <alignment horizontal="center" vertical="center"/>
    </xf>
    <xf numFmtId="0" fontId="18" fillId="27" borderId="63" xfId="0" applyFont="1" applyFill="1" applyBorder="1" applyAlignment="1" applyProtection="1">
      <alignment horizontal="center" vertical="center"/>
    </xf>
    <xf numFmtId="0" fontId="18" fillId="27" borderId="64" xfId="0" applyFont="1" applyFill="1" applyBorder="1" applyAlignment="1" applyProtection="1">
      <alignment horizontal="center" vertical="center"/>
    </xf>
    <xf numFmtId="0" fontId="18" fillId="27" borderId="65" xfId="0" applyFont="1" applyFill="1" applyBorder="1" applyAlignment="1" applyProtection="1">
      <alignment horizontal="center" vertical="center"/>
    </xf>
    <xf numFmtId="0" fontId="18" fillId="27" borderId="66" xfId="0" applyFont="1" applyFill="1" applyBorder="1" applyAlignment="1" applyProtection="1">
      <alignment horizontal="center" vertical="center"/>
    </xf>
    <xf numFmtId="0" fontId="18" fillId="27" borderId="67" xfId="0" applyFont="1" applyFill="1" applyBorder="1" applyAlignment="1" applyProtection="1">
      <alignment horizontal="center" vertical="center"/>
    </xf>
    <xf numFmtId="0" fontId="14" fillId="0" borderId="0" xfId="3" applyFont="1" applyAlignment="1" applyProtection="1">
      <alignment horizontal="left" vertical="top" wrapText="1"/>
    </xf>
    <xf numFmtId="0" fontId="14" fillId="0" borderId="0" xfId="3" applyFont="1" applyFill="1" applyAlignment="1" applyProtection="1">
      <alignment horizontal="left" vertical="center" wrapText="1"/>
    </xf>
    <xf numFmtId="0" fontId="13" fillId="4" borderId="35" xfId="3" applyFont="1" applyFill="1" applyBorder="1" applyAlignment="1" applyProtection="1">
      <alignment horizontal="center" vertical="center" wrapText="1"/>
    </xf>
    <xf numFmtId="0" fontId="13" fillId="4" borderId="60" xfId="3" applyFont="1" applyFill="1" applyBorder="1" applyAlignment="1" applyProtection="1">
      <alignment horizontal="center" vertical="center" wrapText="1"/>
    </xf>
    <xf numFmtId="0" fontId="13" fillId="4" borderId="25" xfId="3" applyFont="1" applyFill="1" applyBorder="1" applyAlignment="1" applyProtection="1">
      <alignment horizontal="center" vertical="center" wrapText="1"/>
    </xf>
    <xf numFmtId="0" fontId="89" fillId="10" borderId="0" xfId="3" applyFont="1" applyFill="1" applyBorder="1" applyAlignment="1" applyProtection="1">
      <alignment horizontal="center" vertical="center" wrapText="1"/>
    </xf>
    <xf numFmtId="0" fontId="90" fillId="10" borderId="0" xfId="3" applyFont="1" applyFill="1" applyBorder="1" applyAlignment="1" applyProtection="1">
      <alignment horizontal="center" vertical="center" wrapText="1"/>
    </xf>
    <xf numFmtId="0" fontId="54" fillId="10" borderId="0" xfId="3" applyFont="1" applyFill="1" applyBorder="1" applyAlignment="1" applyProtection="1">
      <alignment horizontal="center" vertical="center" wrapText="1"/>
    </xf>
    <xf numFmtId="0" fontId="13" fillId="63" borderId="2" xfId="0" applyFont="1" applyFill="1" applyBorder="1" applyAlignment="1" applyProtection="1">
      <alignment horizontal="center" vertical="center"/>
    </xf>
    <xf numFmtId="0" fontId="13" fillId="63" borderId="3" xfId="0" applyFont="1" applyFill="1" applyBorder="1" applyAlignment="1" applyProtection="1">
      <alignment horizontal="center" vertical="center"/>
    </xf>
    <xf numFmtId="0" fontId="13" fillId="63" borderId="4" xfId="0" applyFont="1" applyFill="1" applyBorder="1" applyAlignment="1" applyProtection="1">
      <alignment horizontal="center" vertical="center"/>
    </xf>
    <xf numFmtId="0" fontId="13" fillId="63" borderId="7" xfId="0" applyFont="1" applyFill="1" applyBorder="1" applyAlignment="1" applyProtection="1">
      <alignment horizontal="center" vertical="center"/>
    </xf>
    <xf numFmtId="0" fontId="13" fillId="63" borderId="8" xfId="0" applyFont="1" applyFill="1" applyBorder="1" applyAlignment="1" applyProtection="1">
      <alignment horizontal="center" vertical="center"/>
    </xf>
    <xf numFmtId="0" fontId="13" fillId="63" borderId="9" xfId="0" applyFont="1" applyFill="1" applyBorder="1" applyAlignment="1" applyProtection="1">
      <alignment horizontal="center" vertical="center"/>
    </xf>
    <xf numFmtId="0" fontId="75" fillId="65" borderId="36" xfId="3" applyFont="1" applyFill="1" applyBorder="1" applyAlignment="1" applyProtection="1">
      <alignment horizontal="center" vertical="center" wrapText="1"/>
    </xf>
    <xf numFmtId="0" fontId="75" fillId="65" borderId="68" xfId="3" applyFont="1" applyFill="1" applyBorder="1" applyAlignment="1" applyProtection="1">
      <alignment horizontal="center" vertical="center" wrapText="1"/>
    </xf>
    <xf numFmtId="0" fontId="75" fillId="65" borderId="37" xfId="3" applyFont="1" applyFill="1" applyBorder="1" applyAlignment="1" applyProtection="1">
      <alignment horizontal="center" vertical="center" wrapText="1"/>
    </xf>
    <xf numFmtId="0" fontId="14" fillId="10" borderId="0" xfId="3" applyFont="1" applyFill="1" applyBorder="1" applyAlignment="1" applyProtection="1">
      <alignment horizontal="left"/>
    </xf>
    <xf numFmtId="0" fontId="13" fillId="10" borderId="35" xfId="3" applyFont="1" applyFill="1" applyBorder="1" applyAlignment="1" applyProtection="1">
      <alignment horizontal="center" vertical="center"/>
    </xf>
    <xf numFmtId="0" fontId="13" fillId="10" borderId="25" xfId="3" applyFont="1" applyFill="1" applyBorder="1" applyAlignment="1" applyProtection="1">
      <alignment horizontal="center" vertical="center"/>
    </xf>
    <xf numFmtId="0" fontId="14" fillId="37" borderId="35" xfId="3" applyFont="1" applyFill="1" applyBorder="1" applyAlignment="1" applyProtection="1">
      <alignment horizontal="center" vertical="center"/>
    </xf>
    <xf numFmtId="0" fontId="14" fillId="37" borderId="25" xfId="3" applyFont="1" applyFill="1" applyBorder="1" applyAlignment="1" applyProtection="1">
      <alignment horizontal="center" vertical="center"/>
    </xf>
    <xf numFmtId="171" fontId="93" fillId="66" borderId="0" xfId="0" applyNumberFormat="1" applyFont="1" applyFill="1" applyBorder="1" applyAlignment="1" applyProtection="1">
      <alignment horizontal="right" vertical="center"/>
    </xf>
    <xf numFmtId="171" fontId="93" fillId="66" borderId="83" xfId="0" applyNumberFormat="1" applyFont="1" applyFill="1" applyBorder="1" applyAlignment="1" applyProtection="1">
      <alignment horizontal="right" vertical="center"/>
    </xf>
    <xf numFmtId="0" fontId="11" fillId="0" borderId="105" xfId="2" applyFont="1" applyBorder="1" applyAlignment="1" applyProtection="1">
      <alignment horizontal="left"/>
    </xf>
    <xf numFmtId="3" fontId="21" fillId="2" borderId="22" xfId="0" applyNumberFormat="1" applyFont="1" applyFill="1" applyBorder="1" applyAlignment="1" applyProtection="1">
      <alignment horizontal="center" vertical="center"/>
    </xf>
    <xf numFmtId="3" fontId="21" fillId="2" borderId="21" xfId="0" applyNumberFormat="1" applyFont="1" applyFill="1" applyBorder="1" applyAlignment="1" applyProtection="1">
      <alignment horizontal="center" vertical="center"/>
    </xf>
    <xf numFmtId="3" fontId="21" fillId="7" borderId="22" xfId="0" applyNumberFormat="1" applyFont="1" applyFill="1" applyBorder="1" applyAlignment="1" applyProtection="1">
      <alignment horizontal="center" vertical="center"/>
    </xf>
    <xf numFmtId="3" fontId="21" fillId="7" borderId="21" xfId="0" applyNumberFormat="1" applyFont="1" applyFill="1" applyBorder="1" applyAlignment="1" applyProtection="1">
      <alignment horizontal="center" vertical="center"/>
    </xf>
    <xf numFmtId="0" fontId="26" fillId="2" borderId="0" xfId="0" applyFont="1" applyFill="1" applyBorder="1" applyAlignment="1" applyProtection="1">
      <alignment horizontal="right" vertical="center"/>
    </xf>
    <xf numFmtId="0" fontId="26" fillId="2" borderId="83" xfId="0" applyFont="1" applyFill="1" applyBorder="1" applyAlignment="1" applyProtection="1">
      <alignment horizontal="right" vertical="center"/>
    </xf>
    <xf numFmtId="0" fontId="55" fillId="2" borderId="77" xfId="0" applyFont="1" applyFill="1" applyBorder="1" applyAlignment="1" applyProtection="1">
      <alignment horizontal="left"/>
    </xf>
    <xf numFmtId="0" fontId="53" fillId="0" borderId="77" xfId="0" applyFont="1" applyBorder="1" applyProtection="1"/>
    <xf numFmtId="0" fontId="26" fillId="2" borderId="77" xfId="0" applyFont="1" applyFill="1" applyBorder="1" applyAlignment="1" applyProtection="1">
      <alignment horizontal="left"/>
    </xf>
    <xf numFmtId="0" fontId="14" fillId="0" borderId="77" xfId="0" applyFont="1" applyBorder="1" applyProtection="1"/>
    <xf numFmtId="0" fontId="72" fillId="2" borderId="0" xfId="0" applyFont="1" applyFill="1" applyBorder="1" applyAlignment="1" applyProtection="1">
      <alignment horizontal="right" vertical="center"/>
    </xf>
    <xf numFmtId="0" fontId="72" fillId="2" borderId="83" xfId="0" applyFont="1" applyFill="1" applyBorder="1" applyAlignment="1" applyProtection="1">
      <alignment horizontal="right" vertical="center"/>
    </xf>
    <xf numFmtId="0" fontId="14" fillId="0" borderId="0" xfId="3" applyFont="1" applyFill="1" applyAlignment="1" applyProtection="1">
      <alignment horizontal="left" vertical="top" wrapText="1"/>
    </xf>
    <xf numFmtId="0" fontId="11" fillId="0" borderId="26" xfId="2" applyFont="1" applyBorder="1" applyAlignment="1" applyProtection="1">
      <alignment horizontal="left"/>
    </xf>
    <xf numFmtId="0" fontId="72" fillId="5" borderId="35" xfId="0" applyFont="1" applyFill="1" applyBorder="1" applyAlignment="1" applyProtection="1">
      <alignment horizontal="center" vertical="center"/>
    </xf>
    <xf numFmtId="0" fontId="72" fillId="5" borderId="60" xfId="0" applyFont="1" applyFill="1" applyBorder="1" applyAlignment="1" applyProtection="1">
      <alignment horizontal="center" vertical="center"/>
    </xf>
    <xf numFmtId="0" fontId="72" fillId="5" borderId="25" xfId="0" applyFont="1" applyFill="1" applyBorder="1" applyAlignment="1" applyProtection="1">
      <alignment horizontal="center" vertical="center"/>
    </xf>
    <xf numFmtId="0" fontId="55" fillId="2" borderId="99" xfId="0" applyFont="1" applyFill="1" applyBorder="1" applyAlignment="1" applyProtection="1">
      <alignment horizontal="left"/>
    </xf>
    <xf numFmtId="0" fontId="53" fillId="0" borderId="99" xfId="0" applyFont="1" applyBorder="1" applyProtection="1"/>
    <xf numFmtId="0" fontId="26" fillId="2" borderId="99" xfId="0" applyFont="1" applyFill="1" applyBorder="1" applyAlignment="1" applyProtection="1">
      <alignment horizontal="left"/>
    </xf>
    <xf numFmtId="0" fontId="14" fillId="0" borderId="99" xfId="0" applyFont="1" applyBorder="1" applyProtection="1"/>
    <xf numFmtId="0" fontId="15" fillId="35" borderId="16" xfId="0" applyFont="1" applyFill="1" applyBorder="1" applyAlignment="1" applyProtection="1">
      <alignment horizontal="center" vertical="center" wrapText="1"/>
    </xf>
    <xf numFmtId="0" fontId="15" fillId="35" borderId="18" xfId="0" applyFont="1" applyFill="1" applyBorder="1" applyAlignment="1" applyProtection="1">
      <alignment horizontal="center" vertical="center" wrapText="1"/>
    </xf>
    <xf numFmtId="0" fontId="26" fillId="2" borderId="14" xfId="0" applyFont="1" applyFill="1" applyBorder="1" applyAlignment="1" applyProtection="1">
      <alignment horizontal="right" vertical="center"/>
    </xf>
    <xf numFmtId="0" fontId="26" fillId="2" borderId="15" xfId="0" applyFont="1" applyFill="1" applyBorder="1" applyAlignment="1" applyProtection="1">
      <alignment horizontal="right" vertical="center"/>
    </xf>
    <xf numFmtId="0" fontId="26" fillId="2" borderId="79" xfId="0" applyFont="1" applyFill="1" applyBorder="1" applyAlignment="1" applyProtection="1">
      <alignment horizontal="right" vertical="center"/>
    </xf>
    <xf numFmtId="0" fontId="26" fillId="2" borderId="14" xfId="0" applyFont="1" applyFill="1" applyBorder="1" applyAlignment="1" applyProtection="1">
      <alignment horizontal="right"/>
    </xf>
    <xf numFmtId="0" fontId="26" fillId="2" borderId="15" xfId="0" applyFont="1" applyFill="1" applyBorder="1" applyAlignment="1" applyProtection="1">
      <alignment horizontal="right"/>
    </xf>
    <xf numFmtId="0" fontId="18" fillId="5" borderId="35" xfId="0" applyFont="1" applyFill="1" applyBorder="1" applyAlignment="1" applyProtection="1">
      <alignment horizontal="center" vertical="center" wrapText="1"/>
    </xf>
    <xf numFmtId="0" fontId="18" fillId="5" borderId="60" xfId="0" applyFont="1" applyFill="1" applyBorder="1" applyAlignment="1" applyProtection="1">
      <alignment horizontal="center" vertical="center" wrapText="1"/>
    </xf>
    <xf numFmtId="0" fontId="18" fillId="5" borderId="25" xfId="0" applyFont="1" applyFill="1" applyBorder="1" applyAlignment="1" applyProtection="1">
      <alignment horizontal="center" vertical="center" wrapText="1"/>
    </xf>
    <xf numFmtId="0" fontId="8" fillId="0" borderId="0" xfId="0" applyFont="1" applyAlignment="1" applyProtection="1">
      <alignment horizontal="left" vertical="center" wrapText="1"/>
    </xf>
    <xf numFmtId="0" fontId="14" fillId="0" borderId="0" xfId="3" applyFont="1" applyAlignment="1" applyProtection="1">
      <alignment horizontal="left" vertical="center" wrapText="1"/>
    </xf>
    <xf numFmtId="0" fontId="11" fillId="2" borderId="106" xfId="0" applyFont="1" applyFill="1" applyBorder="1" applyAlignment="1" applyProtection="1">
      <alignment horizontal="left"/>
    </xf>
    <xf numFmtId="0" fontId="71" fillId="0" borderId="106" xfId="0" applyFont="1" applyBorder="1" applyProtection="1"/>
    <xf numFmtId="0" fontId="13" fillId="33" borderId="35" xfId="0" applyFont="1" applyFill="1" applyBorder="1" applyAlignment="1" applyProtection="1">
      <alignment horizontal="center" vertical="center"/>
    </xf>
    <xf numFmtId="0" fontId="13" fillId="33" borderId="60" xfId="0" applyFont="1" applyFill="1" applyBorder="1" applyAlignment="1" applyProtection="1">
      <alignment horizontal="center" vertical="center"/>
    </xf>
    <xf numFmtId="0" fontId="13" fillId="33" borderId="25" xfId="0" applyFont="1" applyFill="1" applyBorder="1" applyAlignment="1" applyProtection="1">
      <alignment horizontal="center" vertical="center"/>
    </xf>
    <xf numFmtId="0" fontId="13" fillId="10" borderId="27" xfId="3" applyFont="1" applyFill="1" applyBorder="1" applyAlignment="1" applyProtection="1">
      <alignment horizontal="center" vertical="center"/>
    </xf>
    <xf numFmtId="0" fontId="14" fillId="64" borderId="27" xfId="3" applyFont="1" applyFill="1" applyBorder="1" applyAlignment="1" applyProtection="1">
      <alignment horizontal="center" vertical="center"/>
    </xf>
    <xf numFmtId="0" fontId="14" fillId="0" borderId="35" xfId="3" applyFont="1" applyBorder="1" applyAlignment="1" applyProtection="1">
      <alignment horizontal="center" vertical="center" wrapText="1"/>
    </xf>
    <xf numFmtId="0" fontId="14" fillId="0" borderId="60" xfId="3" applyFont="1" applyBorder="1" applyAlignment="1" applyProtection="1">
      <alignment horizontal="center" vertical="center" wrapText="1"/>
    </xf>
    <xf numFmtId="0" fontId="14" fillId="0" borderId="25" xfId="3" applyFont="1" applyBorder="1" applyAlignment="1" applyProtection="1">
      <alignment horizontal="center" vertical="center" wrapText="1"/>
    </xf>
    <xf numFmtId="0" fontId="18" fillId="19" borderId="7" xfId="0" applyFont="1" applyFill="1" applyBorder="1" applyAlignment="1" applyProtection="1">
      <alignment horizontal="center" vertical="center"/>
    </xf>
    <xf numFmtId="0" fontId="18" fillId="19" borderId="8" xfId="0" applyFont="1" applyFill="1" applyBorder="1" applyAlignment="1" applyProtection="1">
      <alignment horizontal="center" vertical="center"/>
    </xf>
    <xf numFmtId="0" fontId="18" fillId="19" borderId="9" xfId="0" applyFont="1" applyFill="1" applyBorder="1" applyAlignment="1" applyProtection="1">
      <alignment horizontal="center" vertical="center"/>
    </xf>
    <xf numFmtId="0" fontId="12" fillId="0" borderId="0" xfId="0" applyFont="1" applyAlignment="1" applyProtection="1">
      <alignment horizontal="center"/>
    </xf>
    <xf numFmtId="0" fontId="16" fillId="2" borderId="0" xfId="0" applyFont="1" applyFill="1" applyBorder="1" applyAlignment="1" applyProtection="1">
      <alignment horizontal="center" vertical="center" wrapText="1"/>
    </xf>
    <xf numFmtId="0" fontId="18" fillId="0" borderId="0" xfId="0" applyFont="1" applyAlignment="1" applyProtection="1">
      <alignment horizontal="center" vertical="center"/>
    </xf>
    <xf numFmtId="0" fontId="8" fillId="0" borderId="0" xfId="0" applyFont="1" applyAlignment="1" applyProtection="1"/>
    <xf numFmtId="0" fontId="18" fillId="19" borderId="2" xfId="0" applyFont="1" applyFill="1" applyBorder="1" applyAlignment="1" applyProtection="1">
      <alignment horizontal="center" vertical="center"/>
    </xf>
    <xf numFmtId="0" fontId="18" fillId="19" borderId="3" xfId="0" applyFont="1" applyFill="1" applyBorder="1" applyAlignment="1" applyProtection="1">
      <alignment horizontal="center" vertical="center"/>
    </xf>
    <xf numFmtId="0" fontId="18" fillId="19" borderId="4" xfId="0" applyFont="1" applyFill="1" applyBorder="1" applyAlignment="1" applyProtection="1">
      <alignment horizontal="center" vertical="center"/>
    </xf>
    <xf numFmtId="0" fontId="14" fillId="0" borderId="14" xfId="0" applyFont="1" applyBorder="1" applyProtection="1"/>
    <xf numFmtId="0" fontId="55" fillId="2" borderId="0" xfId="0" applyFont="1" applyFill="1" applyBorder="1" applyAlignment="1" applyProtection="1">
      <alignment horizontal="right" vertical="center"/>
    </xf>
    <xf numFmtId="0" fontId="55" fillId="2" borderId="83" xfId="0" applyFont="1" applyFill="1" applyBorder="1" applyAlignment="1" applyProtection="1">
      <alignment horizontal="right" vertical="center"/>
    </xf>
    <xf numFmtId="0" fontId="3" fillId="5" borderId="22" xfId="0" applyFont="1" applyFill="1" applyBorder="1" applyAlignment="1" applyProtection="1">
      <alignment horizontal="center" vertical="center" wrapText="1"/>
    </xf>
    <xf numFmtId="0" fontId="69" fillId="0" borderId="20" xfId="0" applyFont="1" applyBorder="1" applyProtection="1"/>
    <xf numFmtId="0" fontId="69" fillId="0" borderId="21" xfId="0" applyFont="1" applyBorder="1" applyProtection="1"/>
    <xf numFmtId="0" fontId="14" fillId="0" borderId="0" xfId="0" applyFont="1" applyFill="1" applyBorder="1" applyAlignment="1" applyProtection="1">
      <alignment horizontal="left" vertical="center" wrapText="1"/>
    </xf>
    <xf numFmtId="0" fontId="11" fillId="2" borderId="77" xfId="0" applyFont="1" applyFill="1" applyBorder="1" applyAlignment="1" applyProtection="1">
      <alignment horizontal="left"/>
    </xf>
    <xf numFmtId="0" fontId="71" fillId="0" borderId="77" xfId="0" applyFont="1" applyBorder="1" applyProtection="1"/>
    <xf numFmtId="0" fontId="18" fillId="19" borderId="16" xfId="0" applyFont="1" applyFill="1" applyBorder="1" applyAlignment="1" applyProtection="1">
      <alignment horizontal="center" vertical="center"/>
    </xf>
    <xf numFmtId="0" fontId="14" fillId="14" borderId="17" xfId="0" applyFont="1" applyFill="1" applyBorder="1" applyProtection="1"/>
    <xf numFmtId="0" fontId="14" fillId="14" borderId="18" xfId="0" applyFont="1" applyFill="1" applyBorder="1" applyProtection="1"/>
    <xf numFmtId="0" fontId="12" fillId="0" borderId="0" xfId="0" applyFont="1" applyAlignment="1" applyProtection="1">
      <alignment horizontal="center" vertical="center"/>
    </xf>
    <xf numFmtId="0" fontId="14" fillId="0" borderId="0" xfId="0" applyFont="1" applyBorder="1" applyAlignment="1" applyProtection="1">
      <alignment vertical="center"/>
    </xf>
    <xf numFmtId="0" fontId="18" fillId="19" borderId="13" xfId="0" applyFont="1" applyFill="1" applyBorder="1" applyAlignment="1" applyProtection="1">
      <alignment horizontal="center" vertical="center"/>
    </xf>
    <xf numFmtId="0" fontId="14" fillId="14" borderId="14" xfId="0" applyFont="1" applyFill="1" applyBorder="1" applyProtection="1"/>
    <xf numFmtId="0" fontId="14" fillId="14" borderId="15" xfId="0" applyFont="1" applyFill="1" applyBorder="1" applyProtection="1"/>
    <xf numFmtId="0" fontId="14" fillId="0" borderId="60" xfId="0" applyFont="1" applyBorder="1" applyProtection="1"/>
    <xf numFmtId="0" fontId="14" fillId="0" borderId="25" xfId="0" applyFont="1" applyBorder="1" applyProtection="1"/>
    <xf numFmtId="0" fontId="55" fillId="5" borderId="35" xfId="0" applyFont="1" applyFill="1" applyBorder="1" applyAlignment="1" applyProtection="1">
      <alignment horizontal="center" vertical="center"/>
    </xf>
    <xf numFmtId="0" fontId="53" fillId="0" borderId="60" xfId="0" applyFont="1" applyBorder="1" applyAlignment="1" applyProtection="1">
      <alignment vertical="center"/>
    </xf>
    <xf numFmtId="0" fontId="53" fillId="0" borderId="25" xfId="0" applyFont="1" applyBorder="1" applyAlignment="1" applyProtection="1">
      <alignment vertical="center"/>
    </xf>
    <xf numFmtId="0" fontId="64" fillId="2" borderId="77" xfId="0" applyFont="1" applyFill="1" applyBorder="1" applyAlignment="1" applyProtection="1">
      <alignment horizontal="left"/>
    </xf>
    <xf numFmtId="0" fontId="65" fillId="0" borderId="77" xfId="0" applyFont="1" applyBorder="1" applyProtection="1"/>
    <xf numFmtId="0" fontId="66" fillId="2" borderId="14" xfId="0" applyFont="1" applyFill="1" applyBorder="1" applyAlignment="1" applyProtection="1">
      <alignment horizontal="right" vertical="center"/>
    </xf>
    <xf numFmtId="0" fontId="68" fillId="2" borderId="77" xfId="0" applyFont="1" applyFill="1" applyBorder="1" applyAlignment="1" applyProtection="1">
      <alignment horizontal="left"/>
    </xf>
    <xf numFmtId="0" fontId="69" fillId="0" borderId="77" xfId="0" applyFont="1" applyBorder="1" applyProtection="1"/>
    <xf numFmtId="0" fontId="55" fillId="5" borderId="60" xfId="0" applyFont="1" applyFill="1" applyBorder="1" applyAlignment="1" applyProtection="1">
      <alignment horizontal="center" vertical="center"/>
    </xf>
    <xf numFmtId="0" fontId="55" fillId="5" borderId="25" xfId="0" applyFont="1" applyFill="1" applyBorder="1" applyAlignment="1" applyProtection="1">
      <alignment horizontal="center" vertical="center"/>
    </xf>
    <xf numFmtId="0" fontId="14" fillId="14" borderId="8" xfId="0" applyFont="1" applyFill="1" applyBorder="1" applyProtection="1"/>
    <xf numFmtId="0" fontId="14" fillId="14" borderId="9" xfId="0" applyFont="1" applyFill="1" applyBorder="1" applyProtection="1"/>
    <xf numFmtId="0" fontId="14" fillId="14" borderId="3" xfId="0" applyFont="1" applyFill="1" applyBorder="1" applyProtection="1"/>
    <xf numFmtId="0" fontId="14" fillId="14" borderId="4" xfId="0" applyFont="1" applyFill="1" applyBorder="1" applyProtection="1"/>
    <xf numFmtId="0" fontId="80" fillId="0" borderId="0" xfId="3" applyFont="1" applyFill="1" applyBorder="1" applyAlignment="1" applyProtection="1">
      <alignment horizontal="center" vertical="center" wrapText="1"/>
    </xf>
    <xf numFmtId="0" fontId="41" fillId="9" borderId="2" xfId="0" applyFont="1" applyFill="1" applyBorder="1" applyAlignment="1" applyProtection="1">
      <alignment horizontal="center" vertical="center" wrapText="1"/>
    </xf>
    <xf numFmtId="0" fontId="41" fillId="9" borderId="5" xfId="0" applyFont="1" applyFill="1" applyBorder="1" applyAlignment="1" applyProtection="1">
      <alignment horizontal="center" vertical="center" wrapText="1"/>
    </xf>
    <xf numFmtId="0" fontId="41" fillId="9" borderId="7" xfId="0" applyFont="1" applyFill="1" applyBorder="1" applyAlignment="1" applyProtection="1">
      <alignment horizontal="center" vertical="center" wrapText="1"/>
    </xf>
    <xf numFmtId="0" fontId="41" fillId="9" borderId="59" xfId="0" applyFont="1" applyFill="1" applyBorder="1" applyAlignment="1" applyProtection="1">
      <alignment horizontal="center" vertical="center" wrapText="1"/>
    </xf>
    <xf numFmtId="0" fontId="41" fillId="9" borderId="58" xfId="0" applyFont="1" applyFill="1" applyBorder="1" applyAlignment="1" applyProtection="1">
      <alignment horizontal="center" vertical="center" wrapText="1"/>
    </xf>
    <xf numFmtId="0" fontId="41" fillId="9" borderId="34" xfId="0" applyFont="1" applyFill="1" applyBorder="1" applyAlignment="1" applyProtection="1">
      <alignment horizontal="center" vertical="center" wrapText="1"/>
    </xf>
    <xf numFmtId="0" fontId="41" fillId="59" borderId="59" xfId="0" applyFont="1" applyFill="1" applyBorder="1" applyAlignment="1" applyProtection="1">
      <alignment horizontal="center" vertical="center" wrapText="1"/>
    </xf>
    <xf numFmtId="0" fontId="41" fillId="59" borderId="58" xfId="0" applyFont="1" applyFill="1" applyBorder="1" applyAlignment="1" applyProtection="1">
      <alignment horizontal="center" vertical="center" wrapText="1"/>
    </xf>
    <xf numFmtId="0" fontId="41" fillId="59" borderId="34" xfId="0" applyFont="1" applyFill="1" applyBorder="1" applyAlignment="1" applyProtection="1">
      <alignment horizontal="center" vertical="center" wrapText="1"/>
    </xf>
    <xf numFmtId="0" fontId="41" fillId="61" borderId="59" xfId="0" applyFont="1" applyFill="1" applyBorder="1" applyAlignment="1" applyProtection="1">
      <alignment horizontal="center" vertical="center" wrapText="1"/>
    </xf>
    <xf numFmtId="0" fontId="41" fillId="61" borderId="58" xfId="0" applyFont="1" applyFill="1" applyBorder="1" applyAlignment="1" applyProtection="1">
      <alignment horizontal="center" vertical="center" wrapText="1"/>
    </xf>
    <xf numFmtId="0" fontId="41" fillId="61" borderId="34" xfId="0" applyFont="1" applyFill="1" applyBorder="1" applyAlignment="1" applyProtection="1">
      <alignment horizontal="center" vertical="center" wrapText="1"/>
    </xf>
    <xf numFmtId="0" fontId="41" fillId="5" borderId="59" xfId="0" applyFont="1" applyFill="1" applyBorder="1" applyAlignment="1" applyProtection="1">
      <alignment horizontal="center" vertical="center" wrapText="1"/>
    </xf>
    <xf numFmtId="0" fontId="41" fillId="5" borderId="58" xfId="0" applyFont="1" applyFill="1" applyBorder="1" applyAlignment="1" applyProtection="1">
      <alignment horizontal="center" vertical="center" wrapText="1"/>
    </xf>
    <xf numFmtId="0" fontId="41" fillId="5" borderId="34" xfId="0" applyFont="1" applyFill="1" applyBorder="1" applyAlignment="1" applyProtection="1">
      <alignment horizontal="center" vertical="center" wrapText="1"/>
    </xf>
    <xf numFmtId="0" fontId="79" fillId="10" borderId="8" xfId="3" applyFont="1" applyFill="1" applyBorder="1" applyAlignment="1" applyProtection="1">
      <alignment horizontal="center"/>
    </xf>
    <xf numFmtId="0" fontId="41" fillId="9" borderId="59" xfId="0" applyFont="1" applyFill="1" applyBorder="1" applyAlignment="1" applyProtection="1">
      <alignment horizontal="center" vertical="center"/>
    </xf>
    <xf numFmtId="0" fontId="41" fillId="9" borderId="58" xfId="0" applyFont="1" applyFill="1" applyBorder="1" applyAlignment="1" applyProtection="1">
      <alignment horizontal="center" vertical="center"/>
    </xf>
    <xf numFmtId="0" fontId="14" fillId="0" borderId="0" xfId="3" applyFont="1" applyBorder="1" applyAlignment="1" applyProtection="1">
      <alignment horizontal="left" vertical="center" wrapText="1"/>
    </xf>
    <xf numFmtId="0" fontId="14" fillId="10" borderId="0" xfId="3" applyFont="1" applyFill="1" applyAlignment="1" applyProtection="1">
      <alignment horizontal="left" vertical="center" wrapText="1"/>
    </xf>
    <xf numFmtId="0" fontId="13" fillId="36" borderId="0" xfId="0" applyFont="1" applyFill="1" applyBorder="1" applyAlignment="1" applyProtection="1">
      <alignment horizontal="left" vertical="center" wrapText="1"/>
    </xf>
    <xf numFmtId="0" fontId="63" fillId="36" borderId="0" xfId="0" applyFont="1" applyFill="1" applyBorder="1" applyAlignment="1" applyProtection="1">
      <alignment horizontal="left" vertical="center" wrapText="1"/>
    </xf>
    <xf numFmtId="0" fontId="14" fillId="10" borderId="6" xfId="3" applyFont="1" applyFill="1" applyBorder="1" applyAlignment="1" applyProtection="1">
      <alignment horizontal="left" vertical="center" wrapText="1"/>
    </xf>
    <xf numFmtId="0" fontId="57" fillId="2" borderId="93" xfId="0" applyFont="1" applyFill="1" applyBorder="1" applyAlignment="1" applyProtection="1">
      <alignment horizontal="center"/>
    </xf>
    <xf numFmtId="0" fontId="53" fillId="0" borderId="93" xfId="0" applyFont="1" applyBorder="1" applyAlignment="1" applyProtection="1"/>
    <xf numFmtId="0" fontId="18" fillId="0" borderId="13" xfId="0" applyFont="1" applyBorder="1" applyAlignment="1" applyProtection="1">
      <alignment horizontal="center" vertical="center"/>
    </xf>
    <xf numFmtId="0" fontId="14" fillId="0" borderId="15" xfId="0" applyFont="1" applyBorder="1" applyProtection="1"/>
    <xf numFmtId="0" fontId="14" fillId="0" borderId="16" xfId="0" applyFont="1" applyBorder="1" applyProtection="1"/>
    <xf numFmtId="0" fontId="14" fillId="0" borderId="18" xfId="0" applyFont="1" applyBorder="1" applyProtection="1"/>
    <xf numFmtId="0" fontId="18" fillId="34" borderId="19" xfId="0" applyFont="1" applyFill="1" applyBorder="1" applyAlignment="1" applyProtection="1">
      <alignment horizontal="center" vertical="center" wrapText="1"/>
    </xf>
    <xf numFmtId="0" fontId="14" fillId="0" borderId="11" xfId="0" applyFont="1" applyBorder="1" applyProtection="1"/>
    <xf numFmtId="0" fontId="16" fillId="0" borderId="22" xfId="0" applyFont="1" applyBorder="1" applyProtection="1"/>
    <xf numFmtId="0" fontId="14" fillId="0" borderId="21" xfId="0" applyFont="1" applyBorder="1" applyProtection="1"/>
    <xf numFmtId="0" fontId="16" fillId="11" borderId="22" xfId="0" applyFont="1" applyFill="1" applyBorder="1" applyProtection="1"/>
    <xf numFmtId="0" fontId="14" fillId="8" borderId="21" xfId="0" applyFont="1" applyFill="1" applyBorder="1" applyProtection="1"/>
    <xf numFmtId="0" fontId="58" fillId="10" borderId="0" xfId="0" applyFont="1" applyFill="1" applyAlignment="1" applyProtection="1">
      <alignment horizontal="left" vertical="top" wrapText="1"/>
    </xf>
    <xf numFmtId="0" fontId="14" fillId="0" borderId="0" xfId="0" applyFont="1" applyBorder="1" applyAlignment="1" applyProtection="1">
      <alignment horizontal="left" vertical="center" wrapText="1"/>
    </xf>
    <xf numFmtId="0" fontId="53" fillId="0" borderId="93" xfId="0" applyFont="1" applyBorder="1" applyProtection="1"/>
    <xf numFmtId="0" fontId="39" fillId="15" borderId="5" xfId="0" applyFont="1" applyFill="1" applyBorder="1" applyAlignment="1" applyProtection="1">
      <alignment horizontal="right" vertical="center" wrapText="1"/>
    </xf>
    <xf numFmtId="0" fontId="56" fillId="2" borderId="91" xfId="0" applyFont="1" applyFill="1" applyBorder="1" applyAlignment="1" applyProtection="1">
      <alignment horizontal="center"/>
    </xf>
    <xf numFmtId="0" fontId="53" fillId="0" borderId="91" xfId="0" applyFont="1" applyBorder="1" applyProtection="1"/>
    <xf numFmtId="0" fontId="18" fillId="54" borderId="24" xfId="0" applyFont="1" applyFill="1" applyBorder="1" applyAlignment="1" applyProtection="1">
      <alignment horizontal="center" vertical="center"/>
    </xf>
    <xf numFmtId="0" fontId="14" fillId="0" borderId="24" xfId="0" applyFont="1" applyBorder="1" applyProtection="1"/>
    <xf numFmtId="0" fontId="18" fillId="54" borderId="24" xfId="0" applyFont="1" applyFill="1" applyBorder="1" applyAlignment="1" applyProtection="1">
      <alignment horizontal="center" vertical="center" wrapText="1"/>
    </xf>
    <xf numFmtId="0" fontId="18" fillId="54" borderId="19" xfId="0" applyFont="1" applyFill="1" applyBorder="1" applyAlignment="1" applyProtection="1">
      <alignment horizontal="center" vertical="center" wrapText="1"/>
    </xf>
    <xf numFmtId="0" fontId="14" fillId="0" borderId="11" xfId="0" applyFont="1" applyBorder="1" applyAlignment="1" applyProtection="1">
      <alignment wrapText="1"/>
    </xf>
    <xf numFmtId="0" fontId="18" fillId="54" borderId="92" xfId="0" applyFont="1" applyFill="1" applyBorder="1" applyAlignment="1" applyProtection="1">
      <alignment horizontal="center" vertical="center" wrapText="1"/>
    </xf>
    <xf numFmtId="0" fontId="18" fillId="54" borderId="19" xfId="0" applyFont="1" applyFill="1" applyBorder="1" applyAlignment="1" applyProtection="1">
      <alignment horizontal="center" vertical="center"/>
    </xf>
    <xf numFmtId="0" fontId="79" fillId="10" borderId="95" xfId="3" applyFont="1" applyFill="1" applyBorder="1" applyAlignment="1" applyProtection="1">
      <alignment horizontal="center"/>
    </xf>
    <xf numFmtId="0" fontId="79" fillId="10" borderId="0" xfId="3" applyFont="1" applyFill="1" applyBorder="1" applyAlignment="1" applyProtection="1">
      <alignment horizontal="center"/>
    </xf>
    <xf numFmtId="0" fontId="55" fillId="2" borderId="77" xfId="0" applyFont="1" applyFill="1" applyBorder="1" applyAlignment="1" applyProtection="1">
      <alignment horizontal="center"/>
    </xf>
    <xf numFmtId="0" fontId="18" fillId="5" borderId="24" xfId="0" applyFont="1" applyFill="1" applyBorder="1" applyAlignment="1" applyProtection="1">
      <alignment horizontal="center" vertical="center"/>
    </xf>
    <xf numFmtId="0" fontId="18" fillId="5" borderId="24"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wrapText="1"/>
    </xf>
    <xf numFmtId="0" fontId="18" fillId="5" borderId="90" xfId="0" applyFont="1" applyFill="1" applyBorder="1" applyAlignment="1" applyProtection="1">
      <alignment horizontal="center" vertical="center" wrapText="1"/>
    </xf>
    <xf numFmtId="0" fontId="18" fillId="5" borderId="19" xfId="0" applyFont="1" applyFill="1" applyBorder="1" applyAlignment="1" applyProtection="1">
      <alignment horizontal="center" vertical="center"/>
    </xf>
    <xf numFmtId="0" fontId="18" fillId="5" borderId="47" xfId="0" applyFont="1" applyFill="1" applyBorder="1" applyAlignment="1" applyProtection="1">
      <alignment horizontal="center" vertical="center" wrapText="1"/>
    </xf>
    <xf numFmtId="0" fontId="14" fillId="0" borderId="48" xfId="0" applyFont="1" applyBorder="1" applyProtection="1"/>
    <xf numFmtId="0" fontId="14" fillId="0" borderId="49" xfId="0" applyFont="1" applyBorder="1" applyProtection="1"/>
    <xf numFmtId="0" fontId="18" fillId="0" borderId="27" xfId="0" applyFont="1" applyBorder="1" applyAlignment="1" applyProtection="1">
      <alignment horizontal="center" vertical="center"/>
    </xf>
    <xf numFmtId="0" fontId="18" fillId="11" borderId="27" xfId="0" applyFont="1" applyFill="1" applyBorder="1" applyAlignment="1" applyProtection="1">
      <alignment horizontal="center" vertical="center"/>
    </xf>
    <xf numFmtId="0" fontId="16" fillId="0" borderId="0" xfId="0" applyFont="1" applyAlignment="1" applyProtection="1">
      <alignment horizontal="center"/>
    </xf>
    <xf numFmtId="0" fontId="0" fillId="0" borderId="0" xfId="0" applyFont="1" applyAlignment="1" applyProtection="1"/>
    <xf numFmtId="0" fontId="16" fillId="2" borderId="0" xfId="0" applyFont="1" applyFill="1" applyBorder="1" applyAlignment="1" applyProtection="1">
      <alignment horizontal="center"/>
    </xf>
    <xf numFmtId="0" fontId="14" fillId="0" borderId="0" xfId="0" applyFont="1" applyBorder="1" applyProtection="1"/>
    <xf numFmtId="0" fontId="18" fillId="19" borderId="62" xfId="0" applyFont="1" applyFill="1" applyBorder="1" applyAlignment="1" applyProtection="1">
      <alignment horizontal="center" wrapText="1"/>
    </xf>
    <xf numFmtId="0" fontId="14" fillId="14" borderId="63" xfId="0" applyFont="1" applyFill="1" applyBorder="1" applyProtection="1"/>
    <xf numFmtId="0" fontId="14" fillId="14" borderId="64" xfId="0" applyFont="1" applyFill="1" applyBorder="1" applyProtection="1"/>
    <xf numFmtId="0" fontId="18" fillId="19" borderId="65" xfId="0" applyFont="1" applyFill="1" applyBorder="1" applyAlignment="1" applyProtection="1">
      <alignment horizontal="center" wrapText="1"/>
    </xf>
    <xf numFmtId="0" fontId="14" fillId="14" borderId="66" xfId="0" applyFont="1" applyFill="1" applyBorder="1" applyProtection="1"/>
    <xf numFmtId="0" fontId="14" fillId="14" borderId="67" xfId="0" applyFont="1" applyFill="1" applyBorder="1" applyProtection="1"/>
  </cellXfs>
  <cellStyles count="8">
    <cellStyle name="Moeda" xfId="1" builtinId="4"/>
    <cellStyle name="Moeda_Plan1" xfId="5"/>
    <cellStyle name="Normal" xfId="0" builtinId="0"/>
    <cellStyle name="Normal 2" xfId="3"/>
    <cellStyle name="Normal 4 2" xfId="7"/>
    <cellStyle name="Porcentagem" xfId="4" builtinId="5"/>
    <cellStyle name="Título 2" xfId="6" builtinId="17"/>
    <cellStyle name="Título 3" xfId="2" builtinId="18"/>
  </cellStyles>
  <dxfs count="4">
    <dxf>
      <font>
        <b/>
        <color rgb="FFFF0000"/>
      </font>
      <fill>
        <patternFill patternType="none"/>
      </fill>
    </dxf>
    <dxf>
      <font>
        <b/>
        <color rgb="FFFF0000"/>
      </font>
      <fill>
        <patternFill patternType="none"/>
      </fill>
    </dxf>
    <dxf>
      <font>
        <b/>
        <color rgb="FFFF0000"/>
      </font>
      <fill>
        <patternFill patternType="none"/>
      </fill>
    </dxf>
    <dxf>
      <font>
        <b/>
        <color rgb="FFFF0000"/>
      </font>
      <fill>
        <patternFill patternType="none"/>
      </fill>
    </dxf>
  </dxfs>
  <tableStyles count="0" defaultTableStyle="TableStyleMedium2" defaultPivotStyle="PivotStyleLight16"/>
  <colors>
    <mruColors>
      <color rgb="FF9EFCC4"/>
      <color rgb="FF92FCBD"/>
      <color rgb="FF7DFB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showGridLines="0" tabSelected="1" view="pageBreakPreview" topLeftCell="C34" zoomScale="96" zoomScaleNormal="100" zoomScaleSheetLayoutView="96" workbookViewId="0">
      <selection activeCell="T31" sqref="T31"/>
    </sheetView>
  </sheetViews>
  <sheetFormatPr defaultRowHeight="15" x14ac:dyDescent="0.25"/>
  <cols>
    <col min="1" max="1" width="5.7109375" customWidth="1"/>
    <col min="2" max="2" width="55.7109375" customWidth="1"/>
    <col min="3" max="3" width="10.7109375" customWidth="1"/>
    <col min="4" max="6" width="12.7109375" customWidth="1"/>
    <col min="7" max="8" width="14.7109375" customWidth="1"/>
    <col min="9" max="9" width="8.7109375" customWidth="1"/>
    <col min="10" max="10" width="12.7109375" customWidth="1"/>
    <col min="11" max="16" width="14.7109375" customWidth="1"/>
    <col min="17" max="18" width="12.7109375" customWidth="1"/>
    <col min="19" max="21" width="16.7109375" customWidth="1"/>
  </cols>
  <sheetData>
    <row r="1" spans="1:21" ht="20.100000000000001" customHeight="1" x14ac:dyDescent="0.25">
      <c r="A1" s="930" t="s">
        <v>0</v>
      </c>
      <c r="B1" s="931"/>
      <c r="C1" s="931"/>
      <c r="D1" s="931"/>
      <c r="E1" s="931"/>
      <c r="F1" s="931"/>
      <c r="G1" s="931"/>
      <c r="H1" s="931"/>
      <c r="I1" s="931"/>
      <c r="J1" s="931"/>
      <c r="K1" s="931"/>
      <c r="L1" s="931"/>
      <c r="M1" s="931"/>
      <c r="N1" s="931"/>
      <c r="O1" s="931"/>
      <c r="P1" s="931"/>
      <c r="Q1" s="931"/>
      <c r="R1" s="931"/>
      <c r="S1" s="931"/>
      <c r="T1" s="931"/>
      <c r="U1" s="932"/>
    </row>
    <row r="2" spans="1:21" ht="20.100000000000001" customHeight="1" x14ac:dyDescent="0.25">
      <c r="A2" s="933" t="s">
        <v>1</v>
      </c>
      <c r="B2" s="934"/>
      <c r="C2" s="934"/>
      <c r="D2" s="934"/>
      <c r="E2" s="934"/>
      <c r="F2" s="934"/>
      <c r="G2" s="934"/>
      <c r="H2" s="934"/>
      <c r="I2" s="934"/>
      <c r="J2" s="934"/>
      <c r="K2" s="934"/>
      <c r="L2" s="934"/>
      <c r="M2" s="934"/>
      <c r="N2" s="934"/>
      <c r="O2" s="934"/>
      <c r="P2" s="934"/>
      <c r="Q2" s="934"/>
      <c r="R2" s="934"/>
      <c r="S2" s="934"/>
      <c r="T2" s="934"/>
      <c r="U2" s="935"/>
    </row>
    <row r="3" spans="1:21" ht="20.100000000000001" customHeight="1" x14ac:dyDescent="0.25">
      <c r="A3" s="936" t="s">
        <v>354</v>
      </c>
      <c r="B3" s="937"/>
      <c r="C3" s="937"/>
      <c r="D3" s="937"/>
      <c r="E3" s="937"/>
      <c r="F3" s="937"/>
      <c r="G3" s="937"/>
      <c r="H3" s="937"/>
      <c r="I3" s="937"/>
      <c r="J3" s="937"/>
      <c r="K3" s="937"/>
      <c r="L3" s="937"/>
      <c r="M3" s="937"/>
      <c r="N3" s="937"/>
      <c r="O3" s="937"/>
      <c r="P3" s="937"/>
      <c r="Q3" s="937"/>
      <c r="R3" s="937"/>
      <c r="S3" s="937"/>
      <c r="T3" s="937"/>
      <c r="U3" s="938"/>
    </row>
    <row r="4" spans="1:21" x14ac:dyDescent="0.25">
      <c r="A4" s="105"/>
      <c r="B4" s="29"/>
      <c r="C4" s="29"/>
      <c r="D4" s="29"/>
      <c r="E4" s="29"/>
      <c r="F4" s="29"/>
      <c r="G4" s="105"/>
      <c r="H4" s="105"/>
      <c r="I4" s="105"/>
      <c r="J4" s="105"/>
      <c r="K4" s="105"/>
      <c r="L4" s="105"/>
      <c r="M4" s="105"/>
      <c r="N4" s="105"/>
      <c r="O4" s="105"/>
      <c r="P4" s="105"/>
      <c r="Q4" s="105"/>
      <c r="R4" s="105"/>
      <c r="S4" s="105"/>
      <c r="T4" s="502" t="s">
        <v>2</v>
      </c>
      <c r="U4" s="106" t="s">
        <v>3</v>
      </c>
    </row>
    <row r="5" spans="1:21" x14ac:dyDescent="0.25">
      <c r="A5" s="105"/>
      <c r="B5" s="29"/>
      <c r="C5" s="29"/>
      <c r="D5" s="29"/>
      <c r="E5" s="29"/>
      <c r="F5" s="29"/>
      <c r="G5" s="105"/>
      <c r="H5" s="105"/>
      <c r="I5" s="105"/>
      <c r="J5" s="105"/>
      <c r="K5" s="105"/>
      <c r="L5" s="105"/>
      <c r="M5" s="105"/>
      <c r="N5" s="105"/>
      <c r="O5" s="105"/>
      <c r="P5" s="105"/>
      <c r="Q5" s="105"/>
      <c r="R5" s="105"/>
      <c r="S5" s="105"/>
      <c r="T5" s="502" t="s">
        <v>4</v>
      </c>
      <c r="U5" s="107">
        <v>0</v>
      </c>
    </row>
    <row r="6" spans="1:21" x14ac:dyDescent="0.25">
      <c r="A6" s="105"/>
      <c r="B6" s="29"/>
      <c r="C6" s="29"/>
      <c r="D6" s="29"/>
      <c r="E6" s="29"/>
      <c r="F6" s="29"/>
      <c r="G6" s="105"/>
      <c r="H6" s="105"/>
      <c r="I6" s="105"/>
      <c r="J6" s="105"/>
      <c r="K6" s="105"/>
      <c r="L6" s="105"/>
      <c r="M6" s="105"/>
      <c r="N6" s="105"/>
      <c r="O6" s="105"/>
      <c r="P6" s="105"/>
      <c r="Q6" s="105"/>
      <c r="S6" s="502"/>
      <c r="T6" s="502" t="s">
        <v>5</v>
      </c>
      <c r="U6" s="108">
        <v>0</v>
      </c>
    </row>
    <row r="7" spans="1:21" x14ac:dyDescent="0.25">
      <c r="A7" s="29"/>
      <c r="B7" s="109"/>
      <c r="C7" s="109"/>
      <c r="D7" s="109"/>
      <c r="E7" s="109"/>
      <c r="F7" s="109"/>
      <c r="G7" s="109"/>
      <c r="H7" s="109"/>
      <c r="I7" s="109"/>
      <c r="J7" s="109"/>
      <c r="K7" s="109"/>
      <c r="L7" s="109"/>
      <c r="M7" s="109"/>
      <c r="N7" s="109"/>
      <c r="O7" s="109"/>
      <c r="P7" s="109"/>
      <c r="Q7" s="109"/>
      <c r="R7" s="109"/>
      <c r="S7" s="109"/>
      <c r="T7" s="109"/>
      <c r="U7" s="109"/>
    </row>
    <row r="8" spans="1:21" x14ac:dyDescent="0.25">
      <c r="A8" s="939" t="s">
        <v>6</v>
      </c>
      <c r="B8" s="940"/>
      <c r="C8" s="940"/>
      <c r="D8" s="940"/>
      <c r="E8" s="940"/>
      <c r="F8" s="940"/>
      <c r="G8" s="940"/>
      <c r="H8" s="940"/>
      <c r="I8" s="940"/>
      <c r="J8" s="940"/>
      <c r="K8" s="940"/>
      <c r="L8" s="940"/>
      <c r="M8" s="940"/>
      <c r="N8" s="940"/>
      <c r="O8" s="940"/>
      <c r="P8" s="940"/>
      <c r="Q8" s="940"/>
      <c r="R8" s="940"/>
      <c r="S8" s="940"/>
      <c r="T8" s="940"/>
      <c r="U8" s="941"/>
    </row>
    <row r="9" spans="1:21" x14ac:dyDescent="0.25">
      <c r="A9" s="947" t="s">
        <v>7</v>
      </c>
      <c r="B9" s="948"/>
      <c r="C9" s="948"/>
      <c r="D9" s="948"/>
      <c r="E9" s="948"/>
      <c r="F9" s="948"/>
      <c r="G9" s="948"/>
      <c r="H9" s="948"/>
      <c r="I9" s="948"/>
      <c r="J9" s="948"/>
      <c r="K9" s="948"/>
      <c r="L9" s="948"/>
      <c r="M9" s="948"/>
      <c r="N9" s="948"/>
      <c r="O9" s="948"/>
      <c r="P9" s="948"/>
      <c r="Q9" s="948"/>
      <c r="R9" s="948"/>
      <c r="S9" s="948"/>
      <c r="T9" s="948"/>
      <c r="U9" s="949"/>
    </row>
    <row r="10" spans="1:21" x14ac:dyDescent="0.25">
      <c r="A10" s="947" t="s">
        <v>518</v>
      </c>
      <c r="B10" s="948" t="s">
        <v>517</v>
      </c>
      <c r="C10" s="948"/>
      <c r="D10" s="948"/>
      <c r="E10" s="948"/>
      <c r="F10" s="948"/>
      <c r="G10" s="948"/>
      <c r="H10" s="948"/>
      <c r="I10" s="948"/>
      <c r="J10" s="948"/>
      <c r="K10" s="948"/>
      <c r="L10" s="948"/>
      <c r="M10" s="948"/>
      <c r="N10" s="948"/>
      <c r="O10" s="948"/>
      <c r="P10" s="948"/>
      <c r="Q10" s="948"/>
      <c r="R10" s="948"/>
      <c r="S10" s="948"/>
      <c r="T10" s="948"/>
      <c r="U10" s="949"/>
    </row>
    <row r="11" spans="1:21" x14ac:dyDescent="0.25">
      <c r="A11" s="947" t="s">
        <v>519</v>
      </c>
      <c r="B11" s="986"/>
      <c r="C11" s="986"/>
      <c r="D11" s="986"/>
      <c r="E11" s="986"/>
      <c r="F11" s="986"/>
      <c r="G11" s="986"/>
      <c r="H11" s="986"/>
      <c r="I11" s="986"/>
      <c r="J11" s="986"/>
      <c r="K11" s="986"/>
      <c r="L11" s="986"/>
      <c r="M11" s="986"/>
      <c r="N11" s="986"/>
      <c r="O11" s="986"/>
      <c r="P11" s="986"/>
      <c r="Q11" s="986"/>
      <c r="R11" s="986"/>
      <c r="S11" s="986"/>
      <c r="T11" s="986"/>
      <c r="U11" s="987"/>
    </row>
    <row r="12" spans="1:21" x14ac:dyDescent="0.25">
      <c r="A12" s="988" t="s">
        <v>520</v>
      </c>
      <c r="B12" s="989"/>
      <c r="C12" s="989"/>
      <c r="D12" s="989"/>
      <c r="E12" s="989"/>
      <c r="F12" s="989"/>
      <c r="G12" s="989"/>
      <c r="H12" s="989"/>
      <c r="I12" s="989"/>
      <c r="J12" s="989"/>
      <c r="K12" s="989"/>
      <c r="L12" s="989"/>
      <c r="M12" s="989"/>
      <c r="N12" s="989"/>
      <c r="O12" s="989"/>
      <c r="P12" s="989"/>
      <c r="Q12" s="989"/>
      <c r="R12" s="989"/>
      <c r="S12" s="989"/>
      <c r="T12" s="989"/>
      <c r="U12" s="990"/>
    </row>
    <row r="13" spans="1:21" x14ac:dyDescent="0.25">
      <c r="A13" s="991" t="s">
        <v>521</v>
      </c>
      <c r="B13" s="992"/>
      <c r="C13" s="992"/>
      <c r="D13" s="992"/>
      <c r="E13" s="992"/>
      <c r="F13" s="992"/>
      <c r="G13" s="992"/>
      <c r="H13" s="992"/>
      <c r="I13" s="992"/>
      <c r="J13" s="992"/>
      <c r="K13" s="992"/>
      <c r="L13" s="992"/>
      <c r="M13" s="992"/>
      <c r="N13" s="992"/>
      <c r="O13" s="992"/>
      <c r="P13" s="992"/>
      <c r="Q13" s="992"/>
      <c r="R13" s="992"/>
      <c r="S13" s="992"/>
      <c r="T13" s="992"/>
      <c r="U13" s="993"/>
    </row>
    <row r="14" spans="1:21" ht="15.75" thickBot="1" x14ac:dyDescent="0.3">
      <c r="A14" s="950"/>
      <c r="B14" s="951"/>
      <c r="C14" s="951"/>
      <c r="D14" s="951"/>
      <c r="E14" s="951"/>
      <c r="F14" s="951"/>
      <c r="G14" s="951"/>
      <c r="H14" s="952"/>
      <c r="I14" s="952"/>
      <c r="J14" s="952"/>
      <c r="K14" s="952"/>
      <c r="L14" s="952"/>
      <c r="M14" s="952"/>
      <c r="N14" s="952"/>
      <c r="O14" s="951"/>
      <c r="P14" s="951"/>
      <c r="Q14" s="951"/>
      <c r="R14" s="951"/>
      <c r="S14" s="952"/>
      <c r="T14" s="951"/>
      <c r="U14" s="952"/>
    </row>
    <row r="15" spans="1:21" ht="15" customHeight="1" x14ac:dyDescent="0.25">
      <c r="A15" s="953" t="s">
        <v>8</v>
      </c>
      <c r="B15" s="956" t="s">
        <v>9</v>
      </c>
      <c r="C15" s="956" t="s">
        <v>458</v>
      </c>
      <c r="D15" s="945" t="s">
        <v>10</v>
      </c>
      <c r="E15" s="964"/>
      <c r="F15" s="965"/>
      <c r="G15" s="977" t="s">
        <v>10</v>
      </c>
      <c r="H15" s="946" t="s">
        <v>11</v>
      </c>
      <c r="I15" s="946"/>
      <c r="J15" s="946"/>
      <c r="K15" s="946"/>
      <c r="L15" s="946"/>
      <c r="M15" s="946"/>
      <c r="N15" s="946"/>
      <c r="O15" s="996" t="s">
        <v>11</v>
      </c>
      <c r="P15" s="997" t="s">
        <v>453</v>
      </c>
      <c r="Q15" s="944" t="s">
        <v>454</v>
      </c>
      <c r="R15" s="945"/>
      <c r="S15" s="966" t="s">
        <v>457</v>
      </c>
      <c r="T15" s="774" t="s">
        <v>455</v>
      </c>
      <c r="U15" s="966" t="s">
        <v>464</v>
      </c>
    </row>
    <row r="16" spans="1:21" ht="35.1" customHeight="1" x14ac:dyDescent="0.25">
      <c r="A16" s="954"/>
      <c r="B16" s="957"/>
      <c r="C16" s="957"/>
      <c r="D16" s="974" t="s">
        <v>12</v>
      </c>
      <c r="E16" s="976" t="s">
        <v>13</v>
      </c>
      <c r="F16" s="976" t="s">
        <v>14</v>
      </c>
      <c r="G16" s="972"/>
      <c r="H16" s="969" t="s">
        <v>15</v>
      </c>
      <c r="I16" s="970"/>
      <c r="J16" s="971" t="s">
        <v>16</v>
      </c>
      <c r="K16" s="958" t="s">
        <v>17</v>
      </c>
      <c r="L16" s="960" t="s">
        <v>18</v>
      </c>
      <c r="M16" s="962" t="s">
        <v>19</v>
      </c>
      <c r="N16" s="984" t="s">
        <v>509</v>
      </c>
      <c r="O16" s="975"/>
      <c r="P16" s="972"/>
      <c r="Q16" s="978" t="s">
        <v>469</v>
      </c>
      <c r="R16" s="979"/>
      <c r="S16" s="967"/>
      <c r="T16" s="692" t="s">
        <v>456</v>
      </c>
      <c r="U16" s="967"/>
    </row>
    <row r="17" spans="1:21" ht="30" customHeight="1" x14ac:dyDescent="0.25">
      <c r="A17" s="954"/>
      <c r="B17" s="957"/>
      <c r="C17" s="957"/>
      <c r="D17" s="975"/>
      <c r="E17" s="973"/>
      <c r="F17" s="973"/>
      <c r="G17" s="972"/>
      <c r="H17" s="762" t="s">
        <v>21</v>
      </c>
      <c r="I17" s="762" t="s">
        <v>22</v>
      </c>
      <c r="J17" s="972"/>
      <c r="K17" s="959"/>
      <c r="L17" s="961"/>
      <c r="M17" s="963"/>
      <c r="N17" s="985"/>
      <c r="O17" s="975"/>
      <c r="P17" s="973"/>
      <c r="Q17" s="980" t="s">
        <v>449</v>
      </c>
      <c r="R17" s="982" t="s">
        <v>468</v>
      </c>
      <c r="S17" s="967"/>
      <c r="T17" s="942" t="s">
        <v>23</v>
      </c>
      <c r="U17" s="967"/>
    </row>
    <row r="18" spans="1:21" x14ac:dyDescent="0.25">
      <c r="A18" s="955"/>
      <c r="B18" s="110" t="s">
        <v>25</v>
      </c>
      <c r="C18" s="111" t="s">
        <v>26</v>
      </c>
      <c r="D18" s="112">
        <v>1534</v>
      </c>
      <c r="E18" s="113">
        <v>106</v>
      </c>
      <c r="F18" s="114">
        <f>'ENCARGOS e PROVISOES'!F64/100</f>
        <v>0.71730000000000005</v>
      </c>
      <c r="G18" s="973"/>
      <c r="H18" s="115">
        <v>551.5</v>
      </c>
      <c r="I18" s="116">
        <v>0.2</v>
      </c>
      <c r="J18" s="973"/>
      <c r="K18" s="115">
        <v>75.5</v>
      </c>
      <c r="L18" s="115">
        <v>25</v>
      </c>
      <c r="M18" s="763">
        <v>25</v>
      </c>
      <c r="N18" s="763"/>
      <c r="O18" s="973"/>
      <c r="P18" s="117">
        <f>CITL!F17</f>
        <v>0.35</v>
      </c>
      <c r="Q18" s="981"/>
      <c r="R18" s="983"/>
      <c r="S18" s="968"/>
      <c r="T18" s="943"/>
      <c r="U18" s="968"/>
    </row>
    <row r="19" spans="1:21" ht="15.75" thickBot="1" x14ac:dyDescent="0.3">
      <c r="A19" s="192" t="s">
        <v>27</v>
      </c>
      <c r="B19" s="118"/>
      <c r="C19" s="118"/>
      <c r="D19" s="119"/>
      <c r="E19" s="120"/>
      <c r="F19" s="118"/>
      <c r="G19" s="118"/>
      <c r="H19" s="118"/>
      <c r="I19" s="118"/>
      <c r="J19" s="118"/>
      <c r="K19" s="118"/>
      <c r="L19" s="118"/>
      <c r="M19" s="118"/>
      <c r="N19" s="118"/>
      <c r="O19" s="118"/>
      <c r="P19" s="118"/>
      <c r="Q19" s="118"/>
      <c r="R19" s="118"/>
      <c r="S19" s="691"/>
      <c r="T19" s="118"/>
      <c r="U19" s="691"/>
    </row>
    <row r="20" spans="1:21" ht="15.75" thickTop="1" x14ac:dyDescent="0.25">
      <c r="A20" s="121">
        <v>1</v>
      </c>
      <c r="B20" s="122" t="s">
        <v>28</v>
      </c>
      <c r="C20" s="123">
        <v>20</v>
      </c>
      <c r="D20" s="124">
        <f>ROUND(($D$18/44*C20),2)</f>
        <v>697.27</v>
      </c>
      <c r="E20" s="125">
        <f>ROUND((IF(D20&gt;0,($E$18/44)*C20,0)),2)</f>
        <v>48.18</v>
      </c>
      <c r="F20" s="125">
        <f>ROUND(IF(D20&lt;&gt;0,(D20+E20)*$F$18,0),2)</f>
        <v>534.71</v>
      </c>
      <c r="G20" s="695">
        <f>ROUND(SUM(D20:F20),2)</f>
        <v>1280.1600000000001</v>
      </c>
      <c r="H20" s="913">
        <f>ROUND((IF((D20&gt;0),$H$18-($H$18*$I$18),0)),2)</f>
        <v>441.2</v>
      </c>
      <c r="I20" s="914"/>
      <c r="J20" s="125">
        <f>V.T.!G44</f>
        <v>46.583024999999999</v>
      </c>
      <c r="K20" s="126">
        <f>IF(D20&gt;0,$K$18,0)</f>
        <v>75.5</v>
      </c>
      <c r="L20" s="126">
        <f>IF(D20&gt;0,$L$18,0)</f>
        <v>25</v>
      </c>
      <c r="M20" s="126">
        <f>IF(D20&gt;0,$M$18,0)</f>
        <v>25</v>
      </c>
      <c r="N20" s="126">
        <f>N18</f>
        <v>0</v>
      </c>
      <c r="O20" s="698">
        <f t="shared" ref="O20:O21" si="0">ROUND(SUM(H20:M20),2)</f>
        <v>613.28</v>
      </c>
      <c r="P20" s="697">
        <f>ROUND((G20+O20)*$P$18,2)</f>
        <v>662.7</v>
      </c>
      <c r="Q20" s="697">
        <f>EQUIPAMENTOS!K26</f>
        <v>54.730000000000004</v>
      </c>
      <c r="R20" s="699">
        <f>'INSUMOS Analitica'!J124</f>
        <v>80.19</v>
      </c>
      <c r="S20" s="703">
        <f>ROUND(G20+O20+P20+Q20+R20,2)</f>
        <v>2691.06</v>
      </c>
      <c r="T20" s="704">
        <f>'INSUMOS Analitica'!J95</f>
        <v>1515.2908333333335</v>
      </c>
      <c r="U20" s="694">
        <f>ROUND(S20+T20,2)</f>
        <v>4206.3500000000004</v>
      </c>
    </row>
    <row r="21" spans="1:21" x14ac:dyDescent="0.25">
      <c r="A21" s="821">
        <v>2</v>
      </c>
      <c r="B21" s="822" t="s">
        <v>355</v>
      </c>
      <c r="C21" s="823">
        <v>35</v>
      </c>
      <c r="D21" s="129">
        <f>ROUND(($D$18/44*C21),2)</f>
        <v>1220.23</v>
      </c>
      <c r="E21" s="129">
        <f>ROUND((IF(D21&gt;0,($E$18/44)*C21,0)),2)</f>
        <v>84.32</v>
      </c>
      <c r="F21" s="129">
        <f>ROUND(IF(D21&lt;&gt;0,(D21+E21)*$F$18,0),2)</f>
        <v>935.75</v>
      </c>
      <c r="G21" s="696">
        <f>ROUND(SUM(D21:F21),2)</f>
        <v>2240.3000000000002</v>
      </c>
      <c r="H21" s="917">
        <f>ROUND((IF((D21&gt;0),$H$18-($H$18*$I$18),0)),2)</f>
        <v>441.2</v>
      </c>
      <c r="I21" s="918"/>
      <c r="J21" s="129">
        <f>V.T.!G47</f>
        <v>178.76699999999997</v>
      </c>
      <c r="K21" s="129">
        <f>IF(D21&gt;0,$K$18,0)</f>
        <v>75.5</v>
      </c>
      <c r="L21" s="129">
        <f>IF(D21&gt;0,$L$18,0)</f>
        <v>25</v>
      </c>
      <c r="M21" s="824">
        <f>IF(D21&gt;0,$M$18,0)</f>
        <v>25</v>
      </c>
      <c r="N21" s="824">
        <f>N18</f>
        <v>0</v>
      </c>
      <c r="O21" s="698">
        <f t="shared" si="0"/>
        <v>745.47</v>
      </c>
      <c r="P21" s="697">
        <f>ROUND((G21+O21)*$P$18,2)</f>
        <v>1045.02</v>
      </c>
      <c r="Q21" s="700">
        <f>EQUIPAMENTOS!K26</f>
        <v>54.730000000000004</v>
      </c>
      <c r="R21" s="701">
        <f>'INSUMOS Analitica'!J124</f>
        <v>80.19</v>
      </c>
      <c r="S21" s="703">
        <f t="shared" ref="S21:S25" si="1">ROUND(G21+O21+P21+Q21+R21,2)</f>
        <v>4165.71</v>
      </c>
      <c r="T21" s="705">
        <f>'INSUMOS Analitica'!K95</f>
        <v>1958.6183333333329</v>
      </c>
      <c r="U21" s="694">
        <f t="shared" ref="U21:U25" si="2">ROUND(S21+T21,2)</f>
        <v>6124.33</v>
      </c>
    </row>
    <row r="22" spans="1:21" x14ac:dyDescent="0.25">
      <c r="A22" s="127">
        <v>3</v>
      </c>
      <c r="B22" s="128" t="s">
        <v>356</v>
      </c>
      <c r="C22" s="768">
        <v>44</v>
      </c>
      <c r="D22" s="129">
        <f>ROUND(($D$18/44*C22),2)</f>
        <v>1534</v>
      </c>
      <c r="E22" s="130">
        <f>ROUND((IF(D22&gt;0,($E$18/44)*C22,0)),2)</f>
        <v>106</v>
      </c>
      <c r="F22" s="130">
        <f>ROUND(IF(D22&lt;&gt;0,(D22+E22)*$F$18,0),2)</f>
        <v>1176.3699999999999</v>
      </c>
      <c r="G22" s="696">
        <f t="shared" ref="G22:G25" si="3">ROUND(SUM(D22:F22),2)</f>
        <v>2816.37</v>
      </c>
      <c r="H22" s="915">
        <f>ROUND((IF((D22&gt;0),$H$18-($H$18*$I$18),0)),2)</f>
        <v>441.2</v>
      </c>
      <c r="I22" s="916"/>
      <c r="J22" s="130">
        <f>V.T.!G53</f>
        <v>103.2</v>
      </c>
      <c r="K22" s="131">
        <f>IF(D22&gt;0,$K$18,0)</f>
        <v>75.5</v>
      </c>
      <c r="L22" s="131">
        <f>IF(D22&gt;0,$L$18,0)</f>
        <v>25</v>
      </c>
      <c r="M22" s="773">
        <f>IF(D22&gt;0,$M$18,0)</f>
        <v>25</v>
      </c>
      <c r="N22" s="126">
        <f>N20</f>
        <v>0</v>
      </c>
      <c r="O22" s="698">
        <f>ROUND(SUM(H22:M22),2)</f>
        <v>669.9</v>
      </c>
      <c r="P22" s="697">
        <f t="shared" ref="P22:P25" si="4">ROUND((G22+O22)*$P$18,2)</f>
        <v>1220.19</v>
      </c>
      <c r="Q22" s="700">
        <f>EQUIPAMENTOS!K26</f>
        <v>54.730000000000004</v>
      </c>
      <c r="R22" s="702">
        <f>'INSUMOS Analitica'!J122</f>
        <v>89.94</v>
      </c>
      <c r="S22" s="703">
        <f t="shared" si="1"/>
        <v>4851.13</v>
      </c>
      <c r="T22" s="705">
        <f>'INSUMOS Analitica'!L95</f>
        <v>2130.6383333333329</v>
      </c>
      <c r="U22" s="694">
        <f t="shared" si="2"/>
        <v>6981.77</v>
      </c>
    </row>
    <row r="23" spans="1:21" x14ac:dyDescent="0.25">
      <c r="A23" s="786"/>
      <c r="B23" s="588"/>
      <c r="C23" s="787"/>
      <c r="D23" s="788"/>
      <c r="E23" s="789"/>
      <c r="F23" s="781"/>
      <c r="G23" s="788"/>
      <c r="H23" s="788"/>
      <c r="I23" s="795"/>
      <c r="J23" s="788"/>
      <c r="K23" s="788"/>
      <c r="L23" s="788"/>
      <c r="M23" s="788"/>
      <c r="N23" s="788"/>
      <c r="O23" s="788"/>
      <c r="P23" s="788"/>
      <c r="Q23" s="788"/>
      <c r="R23" s="796"/>
      <c r="S23" s="797"/>
      <c r="T23" s="798"/>
      <c r="U23" s="799"/>
    </row>
    <row r="24" spans="1:21" ht="15.75" thickBot="1" x14ac:dyDescent="0.3">
      <c r="A24" s="192" t="s">
        <v>525</v>
      </c>
      <c r="B24" s="584"/>
      <c r="C24" s="783"/>
      <c r="D24" s="784"/>
      <c r="E24" s="785"/>
      <c r="F24" s="114">
        <f>'ENCARGOS Posto Per Ele'!F64/100</f>
        <v>0.57954399999999995</v>
      </c>
      <c r="G24" s="790"/>
      <c r="H24" s="784"/>
      <c r="I24" s="791"/>
      <c r="J24" s="784"/>
      <c r="K24" s="784"/>
      <c r="L24" s="784"/>
      <c r="M24" s="784"/>
      <c r="N24" s="784"/>
      <c r="O24" s="784"/>
      <c r="P24" s="784"/>
      <c r="Q24" s="784"/>
      <c r="R24" s="792"/>
      <c r="S24" s="793"/>
      <c r="T24" s="794"/>
      <c r="U24" s="782"/>
    </row>
    <row r="25" spans="1:21" ht="30" customHeight="1" thickTop="1" x14ac:dyDescent="0.25">
      <c r="A25" s="821">
        <v>4</v>
      </c>
      <c r="B25" s="822" t="s">
        <v>357</v>
      </c>
      <c r="C25" s="823">
        <v>44</v>
      </c>
      <c r="D25" s="129">
        <f>ROUND(($D$18/44*C25),2)</f>
        <v>1534</v>
      </c>
      <c r="E25" s="129">
        <f>ROUND((IF(D25&gt;0,($E$18/44)*C25,0)),2)</f>
        <v>106</v>
      </c>
      <c r="F25" s="129">
        <f>ROUND(IF(D25&lt;&gt;0,(D25+E25)*$F$24,0),2)</f>
        <v>950.45</v>
      </c>
      <c r="G25" s="696">
        <f t="shared" si="3"/>
        <v>2590.4499999999998</v>
      </c>
      <c r="H25" s="917">
        <f>ROUND((IF((D25&gt;0),$H$18-($H$18*$I$18),0)),2)</f>
        <v>441.2</v>
      </c>
      <c r="I25" s="918"/>
      <c r="J25" s="129">
        <f>V.T.!G53</f>
        <v>103.2</v>
      </c>
      <c r="K25" s="129">
        <f>IF(D25&gt;0,$K$18,0)</f>
        <v>75.5</v>
      </c>
      <c r="L25" s="129">
        <f>IF(D25&gt;0,$L$18,0)</f>
        <v>25</v>
      </c>
      <c r="M25" s="824">
        <f>IF(D25&gt;0,$M$18,0)</f>
        <v>25</v>
      </c>
      <c r="N25" s="824">
        <f>N20</f>
        <v>0</v>
      </c>
      <c r="O25" s="698">
        <f>ROUND(SUM(H25:M25),2)</f>
        <v>669.9</v>
      </c>
      <c r="P25" s="697">
        <f t="shared" si="4"/>
        <v>1141.1199999999999</v>
      </c>
      <c r="Q25" s="696">
        <v>0</v>
      </c>
      <c r="R25" s="701">
        <f>'INSUMOS Posto Período Eleitoral'!F76</f>
        <v>75.127499999999998</v>
      </c>
      <c r="S25" s="703">
        <f t="shared" si="1"/>
        <v>4476.6000000000004</v>
      </c>
      <c r="T25" s="705">
        <f>'INSUMOS Posto Período Eleitoral'!F46</f>
        <v>1253.1200000000001</v>
      </c>
      <c r="U25" s="694">
        <f t="shared" si="2"/>
        <v>5729.72</v>
      </c>
    </row>
    <row r="26" spans="1:21" x14ac:dyDescent="0.25">
      <c r="A26" s="30"/>
      <c r="B26" s="132"/>
      <c r="C26" s="133"/>
      <c r="D26" s="134"/>
      <c r="E26" s="135"/>
      <c r="F26" s="135"/>
      <c r="G26" s="135"/>
      <c r="H26" s="136"/>
      <c r="I26" s="775"/>
      <c r="J26" s="136"/>
      <c r="K26" s="136"/>
      <c r="L26" s="136"/>
      <c r="M26" s="136"/>
      <c r="N26" s="136"/>
      <c r="O26" s="136"/>
      <c r="P26" s="136"/>
      <c r="Q26" s="135"/>
      <c r="R26" s="137"/>
      <c r="S26" s="690"/>
      <c r="T26" s="137"/>
      <c r="U26" s="693"/>
    </row>
    <row r="27" spans="1:21" x14ac:dyDescent="0.25">
      <c r="A27" s="138"/>
      <c r="B27" s="139"/>
      <c r="C27" s="139"/>
      <c r="D27" s="140"/>
      <c r="E27" s="141"/>
      <c r="F27" s="142"/>
      <c r="G27" s="142"/>
      <c r="H27" s="143"/>
      <c r="I27" s="143"/>
      <c r="J27" s="142"/>
      <c r="K27" s="142"/>
      <c r="L27" s="144" t="s">
        <v>29</v>
      </c>
      <c r="M27" s="995" t="s">
        <v>347</v>
      </c>
      <c r="N27" s="995"/>
      <c r="O27" s="995"/>
      <c r="P27" s="995"/>
      <c r="Q27" s="995"/>
      <c r="R27" s="995"/>
      <c r="S27" s="995"/>
      <c r="T27" s="995"/>
      <c r="U27" s="995"/>
    </row>
    <row r="28" spans="1:21" x14ac:dyDescent="0.25">
      <c r="A28" s="138"/>
      <c r="B28" s="139"/>
      <c r="C28" s="139"/>
      <c r="D28" s="140"/>
      <c r="E28" s="141"/>
      <c r="F28" s="142"/>
      <c r="G28" s="142"/>
      <c r="H28" s="143"/>
      <c r="I28" s="143"/>
      <c r="J28" s="142"/>
      <c r="K28" s="142"/>
      <c r="L28" s="144" t="s">
        <v>30</v>
      </c>
      <c r="M28" s="995" t="s">
        <v>348</v>
      </c>
      <c r="N28" s="995"/>
      <c r="O28" s="995"/>
      <c r="P28" s="995"/>
      <c r="Q28" s="995"/>
      <c r="R28" s="995"/>
      <c r="S28" s="995"/>
      <c r="T28" s="995"/>
      <c r="U28" s="995"/>
    </row>
    <row r="29" spans="1:21" ht="16.5" thickBot="1" x14ac:dyDescent="0.3">
      <c r="A29" s="145" t="s">
        <v>31</v>
      </c>
      <c r="B29" s="146"/>
      <c r="C29" s="146"/>
      <c r="D29" s="147"/>
      <c r="E29" s="147"/>
      <c r="F29" s="147"/>
      <c r="G29" s="147"/>
      <c r="H29" s="147"/>
      <c r="I29" s="148"/>
      <c r="J29" s="147"/>
      <c r="K29" s="147"/>
      <c r="L29" s="147"/>
      <c r="M29" s="147"/>
      <c r="N29" s="147"/>
      <c r="O29" s="147"/>
      <c r="P29" s="147"/>
      <c r="Q29" s="147"/>
      <c r="R29" s="147"/>
      <c r="S29" s="147"/>
      <c r="T29" s="147"/>
      <c r="U29" s="147"/>
    </row>
    <row r="30" spans="1:21" ht="15.75" thickTop="1" x14ac:dyDescent="0.25">
      <c r="A30" s="149"/>
      <c r="B30" s="150"/>
      <c r="C30" s="150"/>
      <c r="D30" s="151"/>
      <c r="E30" s="151"/>
      <c r="F30" s="151"/>
      <c r="G30" s="151"/>
      <c r="H30" s="1"/>
      <c r="I30" s="152"/>
      <c r="J30" s="151"/>
      <c r="K30" s="151"/>
      <c r="L30" s="151"/>
      <c r="M30" s="151"/>
      <c r="N30" s="151"/>
      <c r="O30" s="151"/>
      <c r="P30" s="151"/>
      <c r="Q30" s="151"/>
      <c r="R30" s="151"/>
      <c r="S30" s="151"/>
      <c r="T30" s="151"/>
      <c r="U30" s="151"/>
    </row>
    <row r="31" spans="1:21" ht="39.950000000000003" customHeight="1" thickBot="1" x14ac:dyDescent="0.3">
      <c r="A31" s="899" t="s">
        <v>27</v>
      </c>
      <c r="B31" s="900"/>
      <c r="C31" s="153" t="str">
        <f>C15</f>
        <v>Jornada Semanal</v>
      </c>
      <c r="D31" s="153" t="s">
        <v>465</v>
      </c>
      <c r="E31" s="153" t="s">
        <v>462</v>
      </c>
      <c r="F31" s="153" t="s">
        <v>463</v>
      </c>
      <c r="G31" s="153" t="s">
        <v>32</v>
      </c>
      <c r="H31" s="153" t="s">
        <v>466</v>
      </c>
      <c r="I31" s="911" t="s">
        <v>470</v>
      </c>
      <c r="J31" s="912"/>
      <c r="K31" s="769" t="s">
        <v>33</v>
      </c>
      <c r="L31" s="501" t="s">
        <v>34</v>
      </c>
      <c r="M31" s="153" t="s">
        <v>35</v>
      </c>
      <c r="N31" s="153" t="s">
        <v>36</v>
      </c>
      <c r="O31" s="769" t="s">
        <v>471</v>
      </c>
      <c r="P31" s="911" t="s">
        <v>37</v>
      </c>
      <c r="Q31" s="912"/>
    </row>
    <row r="32" spans="1:21" ht="15.75" thickTop="1" x14ac:dyDescent="0.25">
      <c r="A32" s="121">
        <f t="shared" ref="A32:C34" si="5">A20</f>
        <v>1</v>
      </c>
      <c r="B32" s="154" t="str">
        <f t="shared" si="5"/>
        <v>Auxiliar de limpeza - Demais Fóruns Eleitorais</v>
      </c>
      <c r="C32" s="155">
        <f t="shared" si="5"/>
        <v>20</v>
      </c>
      <c r="D32" s="724">
        <f t="shared" ref="D32:F34" si="6">S20</f>
        <v>2691.06</v>
      </c>
      <c r="E32" s="724">
        <f t="shared" si="6"/>
        <v>1515.2908333333335</v>
      </c>
      <c r="F32" s="731">
        <f t="shared" si="6"/>
        <v>4206.3500000000004</v>
      </c>
      <c r="G32" s="156">
        <v>32</v>
      </c>
      <c r="H32" s="13">
        <f>D32*G32</f>
        <v>86113.919999999998</v>
      </c>
      <c r="I32" s="907">
        <f>F32*G32</f>
        <v>134603.20000000001</v>
      </c>
      <c r="J32" s="908"/>
      <c r="K32" s="157">
        <v>45254</v>
      </c>
      <c r="L32" s="726">
        <v>45861</v>
      </c>
      <c r="M32" s="158">
        <v>24</v>
      </c>
      <c r="N32" s="159">
        <v>0</v>
      </c>
      <c r="O32" s="837">
        <f>IFERROR(ROUND(F32/30,2),0)</f>
        <v>140.21</v>
      </c>
      <c r="P32" s="907">
        <f>(I32*M32)+((O32*N32)*G32)</f>
        <v>3230476.8000000003</v>
      </c>
      <c r="Q32" s="908"/>
      <c r="R32" s="919"/>
      <c r="S32" s="920"/>
    </row>
    <row r="33" spans="1:21" x14ac:dyDescent="0.25">
      <c r="A33" s="825">
        <f t="shared" si="5"/>
        <v>2</v>
      </c>
      <c r="B33" s="822" t="str">
        <f t="shared" si="5"/>
        <v>Auxiliar de limpeza - Fórum Eleitoral de PARANAVAÍ</v>
      </c>
      <c r="C33" s="826">
        <f t="shared" si="5"/>
        <v>35</v>
      </c>
      <c r="D33" s="827">
        <f t="shared" si="6"/>
        <v>4165.71</v>
      </c>
      <c r="E33" s="827">
        <f t="shared" si="6"/>
        <v>1958.6183333333329</v>
      </c>
      <c r="F33" s="828">
        <f t="shared" si="6"/>
        <v>6124.33</v>
      </c>
      <c r="G33" s="829">
        <v>1</v>
      </c>
      <c r="H33" s="13">
        <f t="shared" ref="H33:H34" si="7">D33*G33</f>
        <v>4165.71</v>
      </c>
      <c r="I33" s="909">
        <f>F33*G33</f>
        <v>6124.33</v>
      </c>
      <c r="J33" s="910"/>
      <c r="K33" s="830">
        <v>45254</v>
      </c>
      <c r="L33" s="831">
        <v>45861</v>
      </c>
      <c r="M33" s="832">
        <v>24</v>
      </c>
      <c r="N33" s="833">
        <v>0</v>
      </c>
      <c r="O33" s="838">
        <f>IFERROR(ROUND(F33/30,2),0)</f>
        <v>204.14</v>
      </c>
      <c r="P33" s="909">
        <f>(I33*M33)+((O33*N33)*G33)</f>
        <v>146983.91999999998</v>
      </c>
      <c r="Q33" s="910"/>
    </row>
    <row r="34" spans="1:21" x14ac:dyDescent="0.25">
      <c r="A34" s="161">
        <f t="shared" si="5"/>
        <v>3</v>
      </c>
      <c r="B34" s="128" t="str">
        <f t="shared" si="5"/>
        <v>Auxiliar de limpeza - Fórum Eleitoral de MARINGÁ</v>
      </c>
      <c r="C34" s="65">
        <f t="shared" si="5"/>
        <v>44</v>
      </c>
      <c r="D34" s="724">
        <f t="shared" si="6"/>
        <v>4851.13</v>
      </c>
      <c r="E34" s="724">
        <f t="shared" si="6"/>
        <v>2130.6383333333329</v>
      </c>
      <c r="F34" s="731">
        <f t="shared" si="6"/>
        <v>6981.77</v>
      </c>
      <c r="G34" s="503">
        <v>2</v>
      </c>
      <c r="H34" s="13">
        <f t="shared" si="7"/>
        <v>9702.26</v>
      </c>
      <c r="I34" s="999">
        <f>F34*G34</f>
        <v>13963.54</v>
      </c>
      <c r="J34" s="1000"/>
      <c r="K34" s="162">
        <v>45254</v>
      </c>
      <c r="L34" s="727">
        <v>45861</v>
      </c>
      <c r="M34" s="163">
        <v>24</v>
      </c>
      <c r="N34" s="159">
        <v>0</v>
      </c>
      <c r="O34" s="838">
        <f>IFERROR(ROUND(F34/30,2),0)</f>
        <v>232.73</v>
      </c>
      <c r="P34" s="922">
        <f>(I34*M34)+((O34*N34)*G34)</f>
        <v>335124.96000000002</v>
      </c>
      <c r="Q34" s="923"/>
    </row>
    <row r="35" spans="1:21" x14ac:dyDescent="0.25">
      <c r="A35" s="587"/>
      <c r="B35" s="588"/>
      <c r="C35" s="589"/>
      <c r="D35" s="723"/>
      <c r="E35" s="725"/>
      <c r="F35" s="723"/>
      <c r="G35" s="503">
        <f>SUM(G32:G34)</f>
        <v>35</v>
      </c>
      <c r="H35" s="598">
        <f>SUM(H32:H34)</f>
        <v>99981.89</v>
      </c>
      <c r="I35" s="924">
        <f>SUM(I32:J34)</f>
        <v>154691.07</v>
      </c>
      <c r="J35" s="925"/>
      <c r="K35" s="593"/>
      <c r="L35" s="594"/>
      <c r="M35" s="595"/>
      <c r="N35" s="596"/>
      <c r="O35" s="597"/>
      <c r="P35" s="924">
        <f>SUM(P32:Q34)</f>
        <v>3712585.68</v>
      </c>
      <c r="Q35" s="925"/>
    </row>
    <row r="36" spans="1:21" x14ac:dyDescent="0.25">
      <c r="A36" s="583"/>
      <c r="B36" s="584"/>
      <c r="C36" s="585"/>
      <c r="D36" s="586"/>
      <c r="E36" s="32"/>
      <c r="F36" s="586"/>
      <c r="G36" s="504"/>
      <c r="H36" s="581"/>
      <c r="K36" s="590"/>
      <c r="L36" s="590"/>
      <c r="M36" s="591"/>
      <c r="N36" s="582"/>
      <c r="O36" s="592"/>
      <c r="P36" s="777"/>
      <c r="Q36" s="777"/>
    </row>
    <row r="37" spans="1:21" ht="30" customHeight="1" thickBot="1" x14ac:dyDescent="0.3">
      <c r="A37" s="825">
        <f>A25</f>
        <v>4</v>
      </c>
      <c r="B37" s="822" t="str">
        <f>B25</f>
        <v>Auxiliar de limpeza - Fórum Eleitoral de MARINGÁ - Período Eleitoral</v>
      </c>
      <c r="C37" s="826">
        <f>C25</f>
        <v>44</v>
      </c>
      <c r="D37" s="834">
        <f>S25</f>
        <v>4476.6000000000004</v>
      </c>
      <c r="E37" s="834">
        <f>T25</f>
        <v>1253.1200000000001</v>
      </c>
      <c r="F37" s="834">
        <f>U25</f>
        <v>5729.72</v>
      </c>
      <c r="G37" s="829">
        <v>1</v>
      </c>
      <c r="H37" s="835">
        <f>ROUND(D37*G37,2)</f>
        <v>4476.6000000000004</v>
      </c>
      <c r="I37" s="905">
        <f>F37*G37</f>
        <v>5729.72</v>
      </c>
      <c r="J37" s="906"/>
      <c r="K37" s="830">
        <v>45505</v>
      </c>
      <c r="L37" s="831">
        <v>45626</v>
      </c>
      <c r="M37" s="832">
        <v>4</v>
      </c>
      <c r="N37" s="836">
        <v>0</v>
      </c>
      <c r="O37" s="838">
        <f>IFERROR(ROUND(F37/30,2),0)</f>
        <v>190.99</v>
      </c>
      <c r="P37" s="926">
        <f>(I37*M37)+((O37*N37)*G37)</f>
        <v>22918.880000000001</v>
      </c>
      <c r="Q37" s="927"/>
    </row>
    <row r="38" spans="1:21" ht="15.75" thickBot="1" x14ac:dyDescent="0.3">
      <c r="A38" s="164"/>
      <c r="B38" s="165"/>
      <c r="C38" s="166"/>
      <c r="D38" s="167"/>
      <c r="E38" s="32"/>
      <c r="F38" s="32"/>
      <c r="G38" s="166"/>
      <c r="H38" s="3"/>
      <c r="I38" s="168"/>
      <c r="K38" s="168"/>
      <c r="L38" s="168"/>
      <c r="M38" s="169"/>
      <c r="N38" s="170"/>
      <c r="O38" s="171" t="s">
        <v>358</v>
      </c>
      <c r="P38" s="928">
        <f>P35+P37</f>
        <v>3735504.56</v>
      </c>
      <c r="Q38" s="929"/>
    </row>
    <row r="39" spans="1:21" x14ac:dyDescent="0.25">
      <c r="A39" s="172"/>
      <c r="B39" s="173"/>
      <c r="C39" s="174"/>
      <c r="D39" s="175"/>
      <c r="E39" s="174"/>
      <c r="F39" s="3"/>
      <c r="G39" s="168"/>
      <c r="H39" s="168"/>
      <c r="I39" s="168"/>
      <c r="J39" s="169"/>
      <c r="K39" s="170"/>
      <c r="L39" s="4"/>
      <c r="M39" s="5"/>
      <c r="N39" s="5"/>
      <c r="O39" s="5"/>
      <c r="P39" s="5"/>
      <c r="Q39" s="777"/>
      <c r="R39" s="151"/>
      <c r="S39" s="176"/>
      <c r="T39" s="176"/>
      <c r="U39" s="6"/>
    </row>
    <row r="40" spans="1:21" ht="45" customHeight="1" thickBot="1" x14ac:dyDescent="0.3">
      <c r="A40" s="875" t="s">
        <v>38</v>
      </c>
      <c r="B40" s="876"/>
      <c r="C40" s="877" t="s">
        <v>39</v>
      </c>
      <c r="D40" s="878"/>
      <c r="E40" s="865" t="s">
        <v>40</v>
      </c>
      <c r="F40" s="866"/>
      <c r="G40" s="865" t="s">
        <v>41</v>
      </c>
      <c r="H40" s="866"/>
      <c r="K40" s="729"/>
      <c r="L40" s="772"/>
      <c r="M40" s="921"/>
      <c r="N40" s="921"/>
      <c r="O40" s="921"/>
      <c r="P40" s="921"/>
      <c r="Q40" s="921"/>
      <c r="R40" s="169"/>
      <c r="S40" s="177"/>
      <c r="T40" s="177"/>
      <c r="U40" s="177"/>
    </row>
    <row r="41" spans="1:21" ht="16.5" thickTop="1" thickBot="1" x14ac:dyDescent="0.3">
      <c r="A41" s="901" t="s">
        <v>42</v>
      </c>
      <c r="B41" s="902"/>
      <c r="C41" s="903">
        <f>'INSUMOS Pacote Adicional'!F30</f>
        <v>551.81999999999994</v>
      </c>
      <c r="D41" s="904"/>
      <c r="E41" s="879">
        <f>'INSUMOS Pacote Adicional'!F32</f>
        <v>102</v>
      </c>
      <c r="F41" s="880"/>
      <c r="G41" s="863">
        <f>C41*E41</f>
        <v>56285.639999999992</v>
      </c>
      <c r="H41" s="864"/>
      <c r="L41" s="2"/>
      <c r="M41" s="998"/>
      <c r="N41" s="998"/>
      <c r="O41" s="998"/>
      <c r="P41" s="998"/>
      <c r="Q41" s="998"/>
      <c r="R41" s="169"/>
      <c r="S41" s="6"/>
      <c r="T41" s="6"/>
      <c r="U41" s="178"/>
    </row>
    <row r="42" spans="1:21" ht="30" customHeight="1" x14ac:dyDescent="0.25">
      <c r="A42" s="172"/>
      <c r="B42" s="173"/>
      <c r="C42" s="174"/>
      <c r="D42" s="175"/>
      <c r="E42" s="174"/>
      <c r="F42" s="3"/>
      <c r="G42" s="168"/>
      <c r="H42" s="168"/>
      <c r="I42" s="168"/>
      <c r="J42" s="169"/>
      <c r="K42" s="170"/>
      <c r="L42" s="4"/>
      <c r="M42" s="998"/>
      <c r="N42" s="998"/>
      <c r="O42" s="998"/>
      <c r="P42" s="998"/>
      <c r="Q42" s="998"/>
      <c r="R42" s="169"/>
      <c r="S42" s="6"/>
      <c r="T42" s="6"/>
      <c r="U42" s="176"/>
    </row>
    <row r="43" spans="1:21" ht="15.75" thickBot="1" x14ac:dyDescent="0.3">
      <c r="A43" s="875" t="s">
        <v>43</v>
      </c>
      <c r="B43" s="876"/>
      <c r="C43" s="877" t="s">
        <v>44</v>
      </c>
      <c r="D43" s="878"/>
      <c r="E43" s="169"/>
      <c r="F43" s="169"/>
      <c r="G43" s="169"/>
      <c r="H43" s="169"/>
      <c r="I43" s="169"/>
      <c r="J43" s="169"/>
      <c r="K43" s="169"/>
      <c r="L43" s="1"/>
      <c r="M43" s="776"/>
      <c r="N43" s="776"/>
      <c r="O43" s="776"/>
      <c r="P43" s="776"/>
      <c r="Q43" s="776"/>
      <c r="R43" s="160"/>
      <c r="S43" s="7"/>
      <c r="T43" s="7"/>
      <c r="U43" s="179"/>
    </row>
    <row r="44" spans="1:21" ht="15.75" thickTop="1" x14ac:dyDescent="0.25">
      <c r="A44" s="871" t="str">
        <f>'SERVIÇOS SOB DEMANDA'!A18</f>
        <v>SERVIÇOS DE LIMPEZA EM ALTURA</v>
      </c>
      <c r="B44" s="872"/>
      <c r="C44" s="873">
        <f>'SERVIÇOS SOB DEMANDA'!F22</f>
        <v>418880</v>
      </c>
      <c r="D44" s="874"/>
      <c r="E44" s="169"/>
      <c r="F44" s="169"/>
      <c r="G44" s="169"/>
      <c r="H44" s="169"/>
      <c r="I44" s="169"/>
      <c r="J44" s="169"/>
      <c r="K44" s="169"/>
      <c r="L44" s="171"/>
      <c r="M44" s="180"/>
      <c r="N44" s="180"/>
      <c r="O44" s="180"/>
      <c r="P44" s="180"/>
      <c r="Q44" s="180"/>
      <c r="R44" s="160"/>
      <c r="S44" s="7"/>
      <c r="T44" s="7"/>
      <c r="U44" s="178"/>
    </row>
    <row r="45" spans="1:21" x14ac:dyDescent="0.25">
      <c r="A45" s="867" t="str">
        <f>'SERVIÇOS SOB DEMANDA'!A24</f>
        <v>MANUTENÇÃO DE ÁREAS VERDES - SOLO</v>
      </c>
      <c r="B45" s="868"/>
      <c r="C45" s="869">
        <f>'SERVIÇOS SOB DEMANDA'!F31</f>
        <v>1033706.52</v>
      </c>
      <c r="D45" s="870"/>
      <c r="E45" s="169"/>
      <c r="F45" s="169"/>
      <c r="G45" s="169"/>
      <c r="H45" s="169"/>
      <c r="I45" s="169"/>
      <c r="J45" s="169"/>
      <c r="K45" s="169"/>
      <c r="L45" s="171"/>
      <c r="M45" s="994"/>
      <c r="N45" s="994"/>
      <c r="O45" s="994"/>
      <c r="P45" s="994"/>
      <c r="Q45" s="994"/>
      <c r="R45" s="160"/>
      <c r="S45" s="7"/>
      <c r="T45" s="7"/>
      <c r="U45" s="179"/>
    </row>
    <row r="46" spans="1:21" ht="15.75" thickBot="1" x14ac:dyDescent="0.3">
      <c r="A46" s="871" t="str">
        <f>'SERVIÇOS SOB DEMANDA'!A32</f>
        <v>MANUTENÇÃO DE ÁREAS VERDES - PODA, REMOÇÃO E DESTINAÇÃO</v>
      </c>
      <c r="B46" s="872"/>
      <c r="C46" s="892">
        <f>'SERVIÇOS SOB DEMANDA'!F46</f>
        <v>48991.770000000004</v>
      </c>
      <c r="D46" s="893"/>
      <c r="E46" s="894"/>
      <c r="F46" s="895"/>
      <c r="G46" s="181"/>
      <c r="H46" s="151"/>
      <c r="I46" s="151"/>
      <c r="J46" s="151"/>
      <c r="K46" s="151"/>
      <c r="L46" s="5"/>
      <c r="M46" s="5"/>
      <c r="N46" s="5"/>
      <c r="O46" s="5"/>
      <c r="P46" s="5"/>
      <c r="Q46" s="5"/>
      <c r="R46" s="160"/>
      <c r="S46" s="7"/>
      <c r="T46" s="7"/>
      <c r="U46" s="178"/>
    </row>
    <row r="47" spans="1:21" ht="15.75" thickBot="1" x14ac:dyDescent="0.3">
      <c r="A47" s="12"/>
      <c r="B47" s="171" t="s">
        <v>359</v>
      </c>
      <c r="C47" s="896">
        <f>SUM(C44:D46)</f>
        <v>1501578.29</v>
      </c>
      <c r="D47" s="897"/>
      <c r="E47" s="898"/>
      <c r="F47" s="898"/>
      <c r="G47" s="182"/>
      <c r="H47" s="160"/>
      <c r="I47" s="160"/>
      <c r="J47" s="160"/>
      <c r="K47" s="160"/>
      <c r="L47" s="8" t="s">
        <v>360</v>
      </c>
      <c r="M47" s="881">
        <f>P38+G41+C47</f>
        <v>5293368.49</v>
      </c>
      <c r="N47" s="882"/>
      <c r="O47" s="883"/>
      <c r="P47" s="706"/>
      <c r="Q47" s="707"/>
      <c r="R47" s="9"/>
      <c r="S47" s="10"/>
      <c r="T47" s="10"/>
      <c r="U47" s="10"/>
    </row>
    <row r="48" spans="1:21" ht="30" customHeight="1" thickBot="1" x14ac:dyDescent="0.3">
      <c r="A48" s="183" t="s">
        <v>346</v>
      </c>
      <c r="B48" s="184"/>
      <c r="C48" s="184"/>
      <c r="D48" s="184"/>
      <c r="E48" s="184"/>
      <c r="F48" s="185"/>
      <c r="G48" s="185"/>
      <c r="H48" s="185"/>
      <c r="I48" s="185"/>
      <c r="J48" s="184"/>
      <c r="K48" s="184"/>
      <c r="L48" s="184"/>
      <c r="M48" s="185"/>
      <c r="N48" s="185"/>
      <c r="O48" s="185"/>
      <c r="P48" s="185"/>
      <c r="Q48" s="185"/>
      <c r="R48" s="185"/>
      <c r="S48" s="185"/>
      <c r="T48" s="185"/>
      <c r="U48" s="185"/>
    </row>
    <row r="49" spans="1:21" ht="15.75" thickTop="1" x14ac:dyDescent="0.25">
      <c r="A49" s="186"/>
      <c r="B49" s="186"/>
      <c r="C49" s="186"/>
      <c r="D49" s="186"/>
      <c r="E49" s="186"/>
      <c r="F49" s="187"/>
      <c r="G49" s="187"/>
      <c r="H49" s="187"/>
      <c r="I49" s="187"/>
      <c r="J49" s="186"/>
      <c r="K49" s="186"/>
      <c r="L49" s="186"/>
      <c r="M49" s="187"/>
      <c r="N49" s="187"/>
      <c r="O49" s="187"/>
      <c r="P49" s="187"/>
      <c r="Q49" s="187"/>
      <c r="R49" s="187"/>
      <c r="S49" s="187"/>
      <c r="T49" s="187"/>
      <c r="U49" s="187"/>
    </row>
    <row r="50" spans="1:21" ht="15.75" x14ac:dyDescent="0.25">
      <c r="A50" s="11"/>
      <c r="B50" s="887" t="s">
        <v>511</v>
      </c>
      <c r="C50" s="887"/>
      <c r="D50" s="887"/>
      <c r="E50" s="887"/>
      <c r="F50" s="887"/>
      <c r="G50" s="887"/>
      <c r="H50" s="887"/>
      <c r="I50" s="887"/>
      <c r="J50" s="887"/>
      <c r="K50" s="887"/>
      <c r="L50" s="887"/>
      <c r="M50" s="887"/>
      <c r="N50" s="887"/>
      <c r="O50" s="887"/>
      <c r="P50" s="887"/>
      <c r="Q50" s="887"/>
      <c r="R50" s="887"/>
      <c r="S50" s="887"/>
      <c r="T50" s="887"/>
      <c r="U50" s="887"/>
    </row>
    <row r="51" spans="1:21" x14ac:dyDescent="0.25">
      <c r="A51" s="188"/>
      <c r="B51" s="887" t="s">
        <v>512</v>
      </c>
      <c r="C51" s="887"/>
      <c r="D51" s="887"/>
      <c r="E51" s="887"/>
      <c r="F51" s="887"/>
      <c r="G51" s="887"/>
      <c r="H51" s="887"/>
      <c r="I51" s="887"/>
      <c r="J51" s="887"/>
      <c r="K51" s="887"/>
      <c r="L51" s="887"/>
      <c r="M51" s="887"/>
      <c r="N51" s="887"/>
      <c r="O51" s="887"/>
      <c r="P51" s="887"/>
      <c r="Q51" s="887"/>
      <c r="R51" s="887"/>
      <c r="S51" s="887"/>
      <c r="T51" s="887"/>
      <c r="U51" s="887"/>
    </row>
    <row r="52" spans="1:21" x14ac:dyDescent="0.25">
      <c r="A52" s="188"/>
      <c r="B52" s="888" t="s">
        <v>513</v>
      </c>
      <c r="C52" s="888"/>
      <c r="D52" s="888"/>
      <c r="E52" s="888"/>
      <c r="F52" s="888"/>
      <c r="G52" s="888"/>
      <c r="H52" s="888"/>
      <c r="I52" s="771"/>
      <c r="J52" s="771"/>
      <c r="K52" s="771"/>
      <c r="L52" s="771"/>
      <c r="M52" s="771"/>
      <c r="N52" s="771"/>
      <c r="O52" s="771"/>
      <c r="P52" s="771"/>
      <c r="Q52" s="770"/>
      <c r="R52" s="770"/>
      <c r="S52" s="770"/>
      <c r="T52" s="770"/>
      <c r="U52" s="770"/>
    </row>
    <row r="53" spans="1:21" x14ac:dyDescent="0.25">
      <c r="A53" s="188"/>
      <c r="B53" s="887" t="s">
        <v>514</v>
      </c>
      <c r="C53" s="887"/>
      <c r="D53" s="887"/>
      <c r="E53" s="887"/>
      <c r="F53" s="887"/>
      <c r="G53" s="887"/>
      <c r="H53" s="887"/>
      <c r="I53" s="887"/>
      <c r="J53" s="770"/>
      <c r="K53" s="770"/>
      <c r="L53" s="770"/>
      <c r="M53" s="770"/>
      <c r="N53" s="770"/>
      <c r="O53" s="770"/>
      <c r="P53" s="770"/>
      <c r="Q53" s="770"/>
      <c r="R53" s="770"/>
      <c r="S53" s="770"/>
      <c r="T53" s="770"/>
      <c r="U53" s="770"/>
    </row>
    <row r="54" spans="1:21" x14ac:dyDescent="0.25">
      <c r="A54" s="188"/>
      <c r="B54" s="888" t="s">
        <v>361</v>
      </c>
      <c r="C54" s="888"/>
      <c r="D54" s="888"/>
      <c r="E54" s="888"/>
      <c r="F54" s="888"/>
      <c r="G54" s="888"/>
      <c r="H54" s="888"/>
      <c r="I54" s="888"/>
      <c r="J54" s="888"/>
      <c r="K54" s="888"/>
      <c r="L54" s="888"/>
      <c r="M54" s="888"/>
      <c r="N54" s="888"/>
      <c r="O54" s="888"/>
      <c r="P54" s="888"/>
      <c r="Q54" s="888"/>
      <c r="R54" s="888"/>
      <c r="S54" s="888"/>
      <c r="T54" s="888"/>
      <c r="U54" s="888"/>
    </row>
    <row r="55" spans="1:21" x14ac:dyDescent="0.25">
      <c r="A55" s="188"/>
      <c r="B55" s="890" t="s">
        <v>515</v>
      </c>
      <c r="C55" s="890"/>
      <c r="D55" s="890"/>
      <c r="E55" s="890"/>
      <c r="F55" s="890"/>
      <c r="G55" s="890"/>
      <c r="H55" s="890"/>
      <c r="I55" s="890"/>
      <c r="J55" s="890"/>
      <c r="K55" s="771"/>
      <c r="L55" s="771"/>
      <c r="M55" s="771"/>
      <c r="N55" s="771"/>
      <c r="O55" s="771"/>
      <c r="P55" s="771"/>
      <c r="Q55" s="771"/>
      <c r="R55" s="771"/>
      <c r="S55" s="771"/>
      <c r="T55" s="771"/>
      <c r="U55" s="771"/>
    </row>
    <row r="56" spans="1:21" x14ac:dyDescent="0.25">
      <c r="A56" s="9"/>
      <c r="B56" s="891" t="s">
        <v>467</v>
      </c>
      <c r="C56" s="891"/>
      <c r="D56" s="891"/>
      <c r="E56" s="891"/>
      <c r="F56" s="891"/>
      <c r="G56" s="891"/>
      <c r="H56" s="891"/>
      <c r="I56" s="891"/>
      <c r="J56" s="891"/>
      <c r="K56" s="891"/>
      <c r="L56" s="160"/>
      <c r="M56" s="189"/>
      <c r="N56" s="189"/>
      <c r="O56" s="189"/>
      <c r="P56" s="189"/>
      <c r="Q56" s="189"/>
      <c r="R56" s="160"/>
      <c r="S56" s="160"/>
      <c r="T56" s="160"/>
      <c r="U56" s="160"/>
    </row>
    <row r="57" spans="1:21" x14ac:dyDescent="0.25">
      <c r="A57" s="190"/>
      <c r="B57" s="889" t="s">
        <v>510</v>
      </c>
      <c r="C57" s="889"/>
      <c r="D57" s="889"/>
      <c r="E57" s="889"/>
      <c r="F57" s="889"/>
      <c r="G57" s="889"/>
      <c r="H57" s="889"/>
      <c r="I57" s="889"/>
      <c r="J57" s="889"/>
      <c r="K57" s="889"/>
      <c r="L57" s="889"/>
      <c r="M57" s="889"/>
      <c r="N57" s="889"/>
      <c r="O57" s="889"/>
      <c r="P57" s="889"/>
      <c r="Q57" s="889"/>
      <c r="R57" s="889"/>
      <c r="S57" s="889"/>
      <c r="T57" s="889"/>
      <c r="U57" s="889"/>
    </row>
    <row r="58" spans="1:21" x14ac:dyDescent="0.25">
      <c r="A58" s="191"/>
      <c r="B58" s="189" t="s">
        <v>46</v>
      </c>
      <c r="C58" s="191"/>
      <c r="D58" s="191"/>
      <c r="E58" s="191"/>
      <c r="F58" s="191"/>
      <c r="G58" s="151"/>
      <c r="H58" s="151"/>
      <c r="I58" s="151"/>
      <c r="J58" s="884" t="s">
        <v>164</v>
      </c>
      <c r="K58" s="885"/>
      <c r="L58" s="885"/>
      <c r="M58" s="885"/>
      <c r="N58" s="885"/>
      <c r="O58" s="885"/>
      <c r="P58" s="885"/>
      <c r="Q58" s="886"/>
    </row>
  </sheetData>
  <sheetProtection algorithmName="SHA-512" hashValue="GG6NCbBX2uKwLaVYe2Tq+h6e0dwQuesVq13NJVwJgKeuG5qzQpLJ07yAIaNljnB6NwcOiXGZp3sQ97DEuYZZYw==" saltValue="ES3A9xpyMpSUCwzkUb92MQ==" spinCount="100000" sheet="1" objects="1" scenarios="1" selectLockedCells="1"/>
  <mergeCells count="88">
    <mergeCell ref="A10:U10"/>
    <mergeCell ref="A11:U11"/>
    <mergeCell ref="A12:U12"/>
    <mergeCell ref="A13:U13"/>
    <mergeCell ref="M45:Q45"/>
    <mergeCell ref="H25:I25"/>
    <mergeCell ref="M27:U27"/>
    <mergeCell ref="O15:O18"/>
    <mergeCell ref="P15:P17"/>
    <mergeCell ref="M28:U28"/>
    <mergeCell ref="M42:Q42"/>
    <mergeCell ref="I32:J32"/>
    <mergeCell ref="I33:J33"/>
    <mergeCell ref="I34:J34"/>
    <mergeCell ref="I35:J35"/>
    <mergeCell ref="M41:Q41"/>
    <mergeCell ref="U15:U18"/>
    <mergeCell ref="H16:I16"/>
    <mergeCell ref="J16:J18"/>
    <mergeCell ref="D16:D17"/>
    <mergeCell ref="E16:E17"/>
    <mergeCell ref="F16:F17"/>
    <mergeCell ref="S15:S18"/>
    <mergeCell ref="G15:G18"/>
    <mergeCell ref="Q16:R16"/>
    <mergeCell ref="Q17:Q18"/>
    <mergeCell ref="R17:R18"/>
    <mergeCell ref="N16:N17"/>
    <mergeCell ref="A1:U1"/>
    <mergeCell ref="A2:U2"/>
    <mergeCell ref="A3:U3"/>
    <mergeCell ref="A8:U8"/>
    <mergeCell ref="T17:T18"/>
    <mergeCell ref="Q15:R15"/>
    <mergeCell ref="H15:N15"/>
    <mergeCell ref="A9:U9"/>
    <mergeCell ref="A14:U14"/>
    <mergeCell ref="A15:A18"/>
    <mergeCell ref="B15:B17"/>
    <mergeCell ref="C15:C17"/>
    <mergeCell ref="K16:K17"/>
    <mergeCell ref="L16:L17"/>
    <mergeCell ref="M16:M17"/>
    <mergeCell ref="D15:F15"/>
    <mergeCell ref="R32:S32"/>
    <mergeCell ref="M40:Q40"/>
    <mergeCell ref="P34:Q34"/>
    <mergeCell ref="P35:Q35"/>
    <mergeCell ref="P37:Q37"/>
    <mergeCell ref="P38:Q38"/>
    <mergeCell ref="I37:J37"/>
    <mergeCell ref="P32:Q32"/>
    <mergeCell ref="P33:Q33"/>
    <mergeCell ref="I31:J31"/>
    <mergeCell ref="H20:I20"/>
    <mergeCell ref="H22:I22"/>
    <mergeCell ref="H21:I21"/>
    <mergeCell ref="P31:Q31"/>
    <mergeCell ref="A31:B31"/>
    <mergeCell ref="A40:B40"/>
    <mergeCell ref="C40:D40"/>
    <mergeCell ref="A41:B41"/>
    <mergeCell ref="C41:D41"/>
    <mergeCell ref="A46:B46"/>
    <mergeCell ref="M47:O47"/>
    <mergeCell ref="J58:Q58"/>
    <mergeCell ref="B50:U50"/>
    <mergeCell ref="B51:U51"/>
    <mergeCell ref="B52:H52"/>
    <mergeCell ref="B53:I53"/>
    <mergeCell ref="B54:U54"/>
    <mergeCell ref="B57:U57"/>
    <mergeCell ref="B55:J55"/>
    <mergeCell ref="B56:K56"/>
    <mergeCell ref="C46:D46"/>
    <mergeCell ref="E46:F46"/>
    <mergeCell ref="C47:D47"/>
    <mergeCell ref="E47:F47"/>
    <mergeCell ref="G41:H41"/>
    <mergeCell ref="G40:H40"/>
    <mergeCell ref="E40:F40"/>
    <mergeCell ref="A45:B45"/>
    <mergeCell ref="C45:D45"/>
    <mergeCell ref="A44:B44"/>
    <mergeCell ref="C44:D44"/>
    <mergeCell ref="A43:B43"/>
    <mergeCell ref="C43:D43"/>
    <mergeCell ref="E41:F41"/>
  </mergeCells>
  <printOptions horizontalCentered="1"/>
  <pageMargins left="0.19685039370078741" right="0.19685039370078741" top="0.78740157480314965" bottom="0.78740157480314965" header="0.31496062992125984" footer="0.31496062992125984"/>
  <pageSetup paperSize="9" scale="44" orientation="landscape" r:id="rId1"/>
  <headerFooter>
    <oddHeader>&amp;C&amp;"Arial,Negrito"&amp;14ANEXO VI-A&amp;R&amp;P</oddHeader>
    <oddFooter>&amp;L&amp;9SACCON/CPC/SECAD&amp;C&amp;8Última alteração por KETLYN &amp;D&amp;R&amp;9&amp;A
Página &amp;P/&amp;N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77"/>
  <sheetViews>
    <sheetView showGridLines="0" view="pageBreakPreview" zoomScale="96" zoomScaleNormal="100" zoomScaleSheetLayoutView="96" workbookViewId="0">
      <selection sqref="A1:F1"/>
    </sheetView>
  </sheetViews>
  <sheetFormatPr defaultRowHeight="15" x14ac:dyDescent="0.25"/>
  <cols>
    <col min="1" max="1" width="5.5703125" customWidth="1"/>
    <col min="2" max="2" width="57" customWidth="1"/>
    <col min="3" max="6" width="13.7109375" customWidth="1"/>
  </cols>
  <sheetData>
    <row r="1" spans="1:6" ht="15.75" x14ac:dyDescent="0.25">
      <c r="A1" s="1231" t="str">
        <f>'POSTOS e RESUMO'!A1:U1</f>
        <v>TRIBUNAL REGIONAL ELEITORAL DO PARANÁ</v>
      </c>
      <c r="B1" s="1231"/>
      <c r="C1" s="1231"/>
      <c r="D1" s="1231"/>
      <c r="E1" s="1231"/>
      <c r="F1" s="1231"/>
    </row>
    <row r="2" spans="1:6" x14ac:dyDescent="0.25">
      <c r="A2" s="1232" t="str">
        <f>'POSTOS e RESUMO'!A2:U2</f>
        <v>PLANILHA DE FORMAÇÃO DE CUSTOS E PREÇOS - Estimativa TRE-PR</v>
      </c>
      <c r="B2" s="1251"/>
      <c r="C2" s="1251"/>
      <c r="D2" s="1251"/>
      <c r="E2" s="1251"/>
      <c r="F2" s="1251"/>
    </row>
    <row r="3" spans="1:6" x14ac:dyDescent="0.25">
      <c r="A3" s="1232" t="str">
        <f>'POSTOS e RESUMO'!A3:U3</f>
        <v>Serviços de Limpeza, Copeiragem, Manutenção de Áreas Verdes e Limpeza em Altura - Polo 4 - Maringá e Região</v>
      </c>
      <c r="B3" s="1251"/>
      <c r="C3" s="1251"/>
      <c r="D3" s="1251"/>
      <c r="E3" s="1251"/>
      <c r="F3" s="1251"/>
    </row>
    <row r="4" spans="1:6" x14ac:dyDescent="0.25">
      <c r="A4" s="1233"/>
      <c r="B4" s="1234"/>
      <c r="C4" s="1234"/>
      <c r="D4" s="1234"/>
      <c r="E4" s="1234"/>
      <c r="F4" s="1234"/>
    </row>
    <row r="5" spans="1:6" x14ac:dyDescent="0.25">
      <c r="A5" s="1235" t="str">
        <f>'POSTOS e RESUMO'!A8:U8</f>
        <v>EMPRESA</v>
      </c>
      <c r="B5" s="1269"/>
      <c r="C5" s="1269"/>
      <c r="D5" s="1269"/>
      <c r="E5" s="1269"/>
      <c r="F5" s="1270"/>
    </row>
    <row r="6" spans="1:6" x14ac:dyDescent="0.25">
      <c r="A6" s="1228" t="str">
        <f>'POSTOS e RESUMO'!A9:U9</f>
        <v>CNPJ</v>
      </c>
      <c r="B6" s="1267"/>
      <c r="C6" s="1267"/>
      <c r="D6" s="1267"/>
      <c r="E6" s="1267"/>
      <c r="F6" s="1268"/>
    </row>
    <row r="7" spans="1:6" x14ac:dyDescent="0.25">
      <c r="A7" s="232"/>
      <c r="B7" s="232"/>
      <c r="C7" s="232"/>
      <c r="D7" s="232"/>
      <c r="E7" s="233"/>
      <c r="F7" s="233"/>
    </row>
    <row r="8" spans="1:6" x14ac:dyDescent="0.25">
      <c r="A8" s="1213" t="s">
        <v>307</v>
      </c>
      <c r="B8" s="1255"/>
      <c r="C8" s="1255"/>
      <c r="D8" s="1255"/>
      <c r="E8" s="1255"/>
      <c r="F8" s="1256"/>
    </row>
    <row r="9" spans="1:6" x14ac:dyDescent="0.25">
      <c r="A9" s="234"/>
      <c r="B9" s="235"/>
      <c r="C9" s="235"/>
      <c r="D9" s="235"/>
      <c r="E9" s="235"/>
      <c r="F9" s="235"/>
    </row>
    <row r="10" spans="1:6" ht="15.75" x14ac:dyDescent="0.25">
      <c r="A10" s="1257" t="s">
        <v>308</v>
      </c>
      <c r="B10" s="1258"/>
      <c r="C10" s="1258"/>
      <c r="D10" s="1258"/>
      <c r="E10" s="1258"/>
      <c r="F10" s="1259"/>
    </row>
    <row r="11" spans="1:6" ht="30" customHeight="1" thickBot="1" x14ac:dyDescent="0.3">
      <c r="A11" s="1260" t="str">
        <f>'INSUMOS Analitica'!$A$18</f>
        <v>Material de Limpeza - Entrega Mensal</v>
      </c>
      <c r="B11" s="1261"/>
      <c r="C11" s="236"/>
      <c r="D11" s="236"/>
      <c r="E11" s="237"/>
      <c r="F11" s="237"/>
    </row>
    <row r="12" spans="1:6" ht="24.75" thickTop="1" x14ac:dyDescent="0.25">
      <c r="A12" s="238" t="s">
        <v>109</v>
      </c>
      <c r="B12" s="238" t="s">
        <v>201</v>
      </c>
      <c r="C12" s="238" t="s">
        <v>202</v>
      </c>
      <c r="D12" s="239" t="s">
        <v>391</v>
      </c>
      <c r="E12" s="240" t="s">
        <v>39</v>
      </c>
      <c r="F12" s="241" t="s">
        <v>392</v>
      </c>
    </row>
    <row r="13" spans="1:6" ht="36" x14ac:dyDescent="0.25">
      <c r="A13" s="242">
        <f>'INSUMOS Analitica'!A20</f>
        <v>1</v>
      </c>
      <c r="B13" s="243" t="str">
        <f>'INSUMOS Analitica'!B20</f>
        <v>ÁGUA SANITÁRIA, base hipoclorito de sódio, concentração mínima de 2% de cloro ativo, uso doméstico. Marcas de referência: Qboa, Brilhante ou Ypê</v>
      </c>
      <c r="C13" s="244" t="str">
        <f>'INSUMOS Analitica'!C20</f>
        <v>Litro</v>
      </c>
      <c r="D13" s="245">
        <v>3</v>
      </c>
      <c r="E13" s="246">
        <f>'INSUMOS Analitica'!I20</f>
        <v>4.21</v>
      </c>
      <c r="F13" s="247">
        <f t="shared" ref="F13:F35" si="0">ROUND(D13*E13,2)</f>
        <v>12.63</v>
      </c>
    </row>
    <row r="14" spans="1:6" ht="24" x14ac:dyDescent="0.25">
      <c r="A14" s="248">
        <f>'INSUMOS Analitica'!A21</f>
        <v>2</v>
      </c>
      <c r="B14" s="249" t="str">
        <f>'INSUMOS Analitica'!B21</f>
        <v>ÁLCOOL 70%, gel antisséptico, embalagem de no mínimo 420 gramas. Marcas de referência: Asseptgel e Renko.</v>
      </c>
      <c r="C14" s="250" t="str">
        <f>'INSUMOS Analitica'!C21</f>
        <v>Frasco</v>
      </c>
      <c r="D14" s="251">
        <v>4</v>
      </c>
      <c r="E14" s="252">
        <f>'INSUMOS Analitica'!I21</f>
        <v>13.1</v>
      </c>
      <c r="F14" s="253">
        <f t="shared" si="0"/>
        <v>52.4</v>
      </c>
    </row>
    <row r="15" spans="1:6" x14ac:dyDescent="0.25">
      <c r="A15" s="242">
        <f>'INSUMOS Analitica'!A22</f>
        <v>3</v>
      </c>
      <c r="B15" s="243" t="str">
        <f>'INSUMOS Analitica'!B22</f>
        <v>ÁLCOOL, 70% líquido, embalagem de 1 litro.</v>
      </c>
      <c r="C15" s="244" t="str">
        <f>'INSUMOS Analitica'!C22</f>
        <v>Frasco</v>
      </c>
      <c r="D15" s="245">
        <v>2</v>
      </c>
      <c r="E15" s="246">
        <f>'INSUMOS Analitica'!I22</f>
        <v>10.99</v>
      </c>
      <c r="F15" s="247">
        <f t="shared" si="0"/>
        <v>21.98</v>
      </c>
    </row>
    <row r="16" spans="1:6" ht="24" x14ac:dyDescent="0.25">
      <c r="A16" s="248">
        <f>'INSUMOS Analitica'!A23</f>
        <v>4</v>
      </c>
      <c r="B16" s="249" t="str">
        <f>'INSUMOS Analitica'!B23</f>
        <v>DESINFETANTE líquido, a base de pinho, uso geral, ação bactericida e germicida. Marca de referência: Pinho Sol e Urca.</v>
      </c>
      <c r="C16" s="250" t="str">
        <f>'INSUMOS Analitica'!C23</f>
        <v>Litro</v>
      </c>
      <c r="D16" s="251">
        <v>1</v>
      </c>
      <c r="E16" s="252">
        <f>'INSUMOS Analitica'!I23</f>
        <v>3.42</v>
      </c>
      <c r="F16" s="253">
        <f t="shared" si="0"/>
        <v>3.42</v>
      </c>
    </row>
    <row r="17" spans="1:6" ht="24" x14ac:dyDescent="0.25">
      <c r="A17" s="242">
        <f>'INSUMOS Analitica'!A24</f>
        <v>5</v>
      </c>
      <c r="B17" s="243" t="str">
        <f>'INSUMOS Analitica'!B24</f>
        <v>DETERGENTE* líquido de cozinha, frasco de 500 ml. Marcas de referência: Veja, Ypê, limpol e Minuano.</v>
      </c>
      <c r="C17" s="244" t="str">
        <f>'INSUMOS Analitica'!C24</f>
        <v>Frasco</v>
      </c>
      <c r="D17" s="245">
        <v>2</v>
      </c>
      <c r="E17" s="246">
        <f>'INSUMOS Analitica'!I24</f>
        <v>2.38</v>
      </c>
      <c r="F17" s="247">
        <f t="shared" si="0"/>
        <v>4.76</v>
      </c>
    </row>
    <row r="18" spans="1:6" ht="24" x14ac:dyDescent="0.25">
      <c r="A18" s="248">
        <f>'INSUMOS Analitica'!A25</f>
        <v>6</v>
      </c>
      <c r="B18" s="249" t="str">
        <f>'INSUMOS Analitica'!B25</f>
        <v>Esponja lã de aço, pacote com 8 unidades. Marcas de referência: Assolan, Bombril, Lustro ou Brilhus.</v>
      </c>
      <c r="C18" s="250" t="str">
        <f>'INSUMOS Analitica'!C25</f>
        <v>Pacote</v>
      </c>
      <c r="D18" s="251">
        <v>2</v>
      </c>
      <c r="E18" s="252">
        <f>'INSUMOS Analitica'!I25</f>
        <v>3.27</v>
      </c>
      <c r="F18" s="253">
        <f t="shared" si="0"/>
        <v>6.54</v>
      </c>
    </row>
    <row r="19" spans="1:6" ht="36" x14ac:dyDescent="0.25">
      <c r="A19" s="242">
        <f>'INSUMOS Analitica'!A26</f>
        <v>7</v>
      </c>
      <c r="B19" s="243" t="str">
        <f>'INSUMOS Analitica'!B26</f>
        <v>ESPONJA sintética, dupla face, um lado para vidro e louça e outro para alumínio, dimensões 110 x 75 x 20 mm. Marcas de referência: Scotch Brite, Ypê, Assolan, Limppano ou Esfrebom.</v>
      </c>
      <c r="C19" s="244" t="str">
        <f>'INSUMOS Analitica'!C26</f>
        <v>Unidade</v>
      </c>
      <c r="D19" s="245">
        <v>4</v>
      </c>
      <c r="E19" s="246">
        <f>'INSUMOS Analitica'!I26</f>
        <v>1.28</v>
      </c>
      <c r="F19" s="247">
        <f t="shared" si="0"/>
        <v>5.12</v>
      </c>
    </row>
    <row r="20" spans="1:6" ht="24" x14ac:dyDescent="0.25">
      <c r="A20" s="248">
        <f>'INSUMOS Analitica'!A28</f>
        <v>9</v>
      </c>
      <c r="B20" s="243" t="str">
        <f>'INSUMOS Analitica'!B28</f>
        <v>FLANELA 100% algodão, bordas overloqueadas em linhas de algodão, para uso geral, dimensões mínimas de 30 x 50 cm.</v>
      </c>
      <c r="C20" s="244" t="str">
        <f>'INSUMOS Analitica'!C28</f>
        <v>Unidade</v>
      </c>
      <c r="D20" s="245">
        <v>3</v>
      </c>
      <c r="E20" s="246">
        <f>'INSUMOS Analitica'!I28</f>
        <v>3.13</v>
      </c>
      <c r="F20" s="247">
        <f t="shared" si="0"/>
        <v>9.39</v>
      </c>
    </row>
    <row r="21" spans="1:6" ht="24" x14ac:dyDescent="0.25">
      <c r="A21" s="242">
        <f>'INSUMOS Analitica'!A29</f>
        <v>10</v>
      </c>
      <c r="B21" s="249" t="str">
        <f>'INSUMOS Analitica'!B29</f>
        <v>LIMPADOR LIMPEZA PESADA. Marca de Referência: Veja Limpeza Pesada e Mr. Músculo Limpeza Pesada</v>
      </c>
      <c r="C21" s="250" t="str">
        <f>'INSUMOS Analitica'!C29</f>
        <v>Litro</v>
      </c>
      <c r="D21" s="251">
        <v>2</v>
      </c>
      <c r="E21" s="252">
        <f>'INSUMOS Analitica'!I29</f>
        <v>13.47</v>
      </c>
      <c r="F21" s="253">
        <f t="shared" si="0"/>
        <v>26.94</v>
      </c>
    </row>
    <row r="22" spans="1:6" ht="24" x14ac:dyDescent="0.25">
      <c r="A22" s="248">
        <f>'INSUMOS Analitica'!A30</f>
        <v>11</v>
      </c>
      <c r="B22" s="243" t="str">
        <f>'INSUMOS Analitica'!B30</f>
        <v>LIMPADOR MULTIUSO, frasco de 500ml. Marcas de referência: Veja, Ypê e Pratice.</v>
      </c>
      <c r="C22" s="244" t="str">
        <f>'INSUMOS Analitica'!C30</f>
        <v>Frasco</v>
      </c>
      <c r="D22" s="245">
        <v>2</v>
      </c>
      <c r="E22" s="246">
        <f>'INSUMOS Analitica'!I30</f>
        <v>7.14</v>
      </c>
      <c r="F22" s="247">
        <f t="shared" si="0"/>
        <v>14.28</v>
      </c>
    </row>
    <row r="23" spans="1:6" x14ac:dyDescent="0.25">
      <c r="A23" s="242">
        <f>'INSUMOS Analitica'!A31</f>
        <v>12</v>
      </c>
      <c r="B23" s="249" t="str">
        <f>'INSUMOS Analitica'!B31</f>
        <v>LIMPADOR SAPONÁCEO cremoso, embalagem de 250 ml.</v>
      </c>
      <c r="C23" s="250" t="str">
        <f>'INSUMOS Analitica'!C31</f>
        <v>Unidade</v>
      </c>
      <c r="D23" s="251">
        <v>2</v>
      </c>
      <c r="E23" s="252">
        <f>'INSUMOS Analitica'!I31</f>
        <v>5.64</v>
      </c>
      <c r="F23" s="253">
        <f t="shared" si="0"/>
        <v>11.28</v>
      </c>
    </row>
    <row r="24" spans="1:6" ht="36" x14ac:dyDescent="0.25">
      <c r="A24" s="248">
        <f>'INSUMOS Analitica'!A34</f>
        <v>15</v>
      </c>
      <c r="B24" s="243" t="str">
        <f>'INSUMOS Analitica'!B34</f>
        <v>LUVA de limpeza multiuso maior tato, forrada internamente, flexível, resistente. Marca/modelo de referência: Scoth Brite para Cozinha e Limpanno Velouté</v>
      </c>
      <c r="C24" s="244" t="str">
        <f>'INSUMOS Analitica'!C34</f>
        <v>Par</v>
      </c>
      <c r="D24" s="245">
        <v>1</v>
      </c>
      <c r="E24" s="246">
        <f>'INSUMOS Analitica'!I34</f>
        <v>14.5</v>
      </c>
      <c r="F24" s="247">
        <f t="shared" si="0"/>
        <v>14.5</v>
      </c>
    </row>
    <row r="25" spans="1:6" ht="24" x14ac:dyDescent="0.25">
      <c r="A25" s="242">
        <f>'INSUMOS Analitica'!A35</f>
        <v>16</v>
      </c>
      <c r="B25" s="249" t="str">
        <f>'INSUMOS Analitica'!B35</f>
        <v>ODORIZADOR de ambientes aerosol, frasco com no mínimo 350ml/170g. Marcas de referência: Bom Ar e Glade.</v>
      </c>
      <c r="C25" s="250" t="str">
        <f>'INSUMOS Analitica'!C35</f>
        <v>Frasco</v>
      </c>
      <c r="D25" s="251">
        <v>1</v>
      </c>
      <c r="E25" s="252">
        <f>'INSUMOS Analitica'!I35</f>
        <v>20.93</v>
      </c>
      <c r="F25" s="253">
        <f t="shared" si="0"/>
        <v>20.93</v>
      </c>
    </row>
    <row r="26" spans="1:6" ht="24" x14ac:dyDescent="0.25">
      <c r="A26" s="248">
        <f>'INSUMOS Analitica'!A36</f>
        <v>17</v>
      </c>
      <c r="B26" s="243" t="str">
        <f>'INSUMOS Analitica'!B36</f>
        <v>PANO DE CHÃO em algodão lavado, tipo saco, medidas aproximadas de 65 x 40 cm.</v>
      </c>
      <c r="C26" s="244" t="str">
        <f>'INSUMOS Analitica'!C36</f>
        <v>Unidade</v>
      </c>
      <c r="D26" s="245">
        <v>3</v>
      </c>
      <c r="E26" s="246">
        <f>'INSUMOS Analitica'!I36</f>
        <v>5.04</v>
      </c>
      <c r="F26" s="247">
        <f t="shared" si="0"/>
        <v>15.12</v>
      </c>
    </row>
    <row r="27" spans="1:6" ht="24" x14ac:dyDescent="0.25">
      <c r="A27" s="242">
        <f>'INSUMOS Analitica'!A37</f>
        <v>18</v>
      </c>
      <c r="B27" s="249" t="str">
        <f>'INSUMOS Analitica'!B37</f>
        <v>PANO DE PRATO, composição 100% algodão, com bainha, medidas aproximadas de 50 X 70 cm.</v>
      </c>
      <c r="C27" s="250" t="str">
        <f>'INSUMOS Analitica'!C37</f>
        <v>Unidade</v>
      </c>
      <c r="D27" s="251">
        <v>1</v>
      </c>
      <c r="E27" s="252">
        <f>'INSUMOS Analitica'!I37</f>
        <v>6.16</v>
      </c>
      <c r="F27" s="253">
        <f t="shared" si="0"/>
        <v>6.16</v>
      </c>
    </row>
    <row r="28" spans="1:6" ht="48" x14ac:dyDescent="0.25">
      <c r="A28" s="248">
        <f>'INSUMOS Analitica'!A38</f>
        <v>19</v>
      </c>
      <c r="B28" s="243" t="str">
        <f>'INSUMOS Analitica'!B38</f>
        <v>PAPEL HIGIÊNICO - rolo de 300 metros, branco macio, de primeira linha, gramatura mínima de 19g/m2, gofrado ou texturizado, com tecnologia corta-fácil. Marca de referência: Scott. Também serão aceitos rolos de 250 metros, se estes forem folha dupla.</v>
      </c>
      <c r="C28" s="244" t="str">
        <f>'INSUMOS Analitica'!C38</f>
        <v>Rolo</v>
      </c>
      <c r="D28" s="245">
        <v>3</v>
      </c>
      <c r="E28" s="246">
        <f>'INSUMOS Analitica'!I38</f>
        <v>19.239999999999998</v>
      </c>
      <c r="F28" s="247">
        <f t="shared" si="0"/>
        <v>57.72</v>
      </c>
    </row>
    <row r="29" spans="1:6" ht="72" x14ac:dyDescent="0.25">
      <c r="A29" s="242">
        <f>'INSUMOS Analitica'!A39</f>
        <v>20</v>
      </c>
      <c r="B29" s="249" t="str">
        <f>'INSUMOS Analitica'!B39</f>
        <v>PAPEL TOALHA - interfolhado, folha dupla, 100% celulose, caixa com 2.400 folhas, medidas aproximadas 22 x 22 cm. 
Observação: também serão aceitas caixas com 1.000 ou 2.000 folhas, desde que acrescida de 2 pacotes de no mínimo 200 folhas cada, totalizando 2.400 folhas. 
Marcas de referência: Santher-Inovatta, Mili e Indaial-Ipel.</v>
      </c>
      <c r="C29" s="250" t="str">
        <f>'INSUMOS Analitica'!C39</f>
        <v>Caixa</v>
      </c>
      <c r="D29" s="251">
        <v>3</v>
      </c>
      <c r="E29" s="252">
        <f>'INSUMOS Analitica'!I39</f>
        <v>70.959999999999994</v>
      </c>
      <c r="F29" s="253">
        <f t="shared" si="0"/>
        <v>212.88</v>
      </c>
    </row>
    <row r="30" spans="1:6" ht="24" x14ac:dyDescent="0.25">
      <c r="A30" s="248">
        <f>'INSUMOS Analitica'!A40</f>
        <v>21</v>
      </c>
      <c r="B30" s="243" t="str">
        <f>'INSUMOS Analitica'!B40</f>
        <v>PEDRA sanitária, mínimo 25 g, Marca de Referência: Sany, Limppano, Harpic, Jhonsons</v>
      </c>
      <c r="C30" s="244" t="str">
        <f>'INSUMOS Analitica'!C40</f>
        <v>Unidade</v>
      </c>
      <c r="D30" s="245">
        <v>2</v>
      </c>
      <c r="E30" s="246">
        <f>'INSUMOS Analitica'!I40</f>
        <v>1.89</v>
      </c>
      <c r="F30" s="247">
        <f t="shared" si="0"/>
        <v>3.78</v>
      </c>
    </row>
    <row r="31" spans="1:6" ht="24" x14ac:dyDescent="0.25">
      <c r="A31" s="242">
        <f>'INSUMOS Analitica'!A42</f>
        <v>23</v>
      </c>
      <c r="B31" s="243" t="str">
        <f>'INSUMOS Analitica'!B42</f>
        <v>SABÃO em Barra Glicerinado pacote com 5 unidades de no mínimo 180 g cada pedra; Marca de referência: Ypê e Girando Sol</v>
      </c>
      <c r="C31" s="244" t="str">
        <f>'INSUMOS Analitica'!C42</f>
        <v>Pacote</v>
      </c>
      <c r="D31" s="245">
        <v>1</v>
      </c>
      <c r="E31" s="246">
        <f>'INSUMOS Analitica'!I42</f>
        <v>23.09</v>
      </c>
      <c r="F31" s="247">
        <f t="shared" si="0"/>
        <v>23.09</v>
      </c>
    </row>
    <row r="32" spans="1:6" ht="24" x14ac:dyDescent="0.25">
      <c r="A32" s="248">
        <f>'INSUMOS Analitica'!A43</f>
        <v>24</v>
      </c>
      <c r="B32" s="249" t="str">
        <f>'INSUMOS Analitica'!B43</f>
        <v>SABÃO EM PÓ biodegradável, pacote de 800 Kg. Marcas de referência: Omo, Tixan, Brilhante</v>
      </c>
      <c r="C32" s="250" t="str">
        <f>'INSUMOS Analitica'!C43</f>
        <v>Pacote</v>
      </c>
      <c r="D32" s="251">
        <v>1</v>
      </c>
      <c r="E32" s="252">
        <f>'INSUMOS Analitica'!I43</f>
        <v>25.23</v>
      </c>
      <c r="F32" s="253">
        <f t="shared" si="0"/>
        <v>25.23</v>
      </c>
    </row>
    <row r="33" spans="1:6" ht="36" x14ac:dyDescent="0.25">
      <c r="A33" s="242">
        <f>'INSUMOS Analitica'!A44</f>
        <v>25</v>
      </c>
      <c r="B33" s="243" t="str">
        <f>'INSUMOS Analitica'!B44</f>
        <v>SABONETE Líquido, bactericida/antisséptico, fragrância agradável, para saboneteiras de banheiros. Marcas de referência: Nobrehand, Spartan.</v>
      </c>
      <c r="C33" s="254" t="str">
        <f>'INSUMOS Analitica'!C44</f>
        <v>Litro</v>
      </c>
      <c r="D33" s="255">
        <v>2</v>
      </c>
      <c r="E33" s="246">
        <f>'INSUMOS Analitica'!I44</f>
        <v>5.0999999999999996</v>
      </c>
      <c r="F33" s="247">
        <f t="shared" si="0"/>
        <v>10.199999999999999</v>
      </c>
    </row>
    <row r="34" spans="1:6" ht="36" x14ac:dyDescent="0.25">
      <c r="A34" s="248">
        <f>'INSUMOS Analitica'!A46</f>
        <v>27</v>
      </c>
      <c r="B34" s="249" t="str">
        <f>'INSUMOS Analitica'!B46</f>
        <v>SACO PLÁSTICO para lixo de 60 litros, pacote com 100 unidades, classe I, em resina termoplástica preferencialmente reciclada, 50 x 60 x 03, reforçado.</v>
      </c>
      <c r="C34" s="267" t="str">
        <f>'INSUMOS Analitica'!C46</f>
        <v>Pacote</v>
      </c>
      <c r="D34" s="245">
        <v>3</v>
      </c>
      <c r="E34" s="265">
        <f>'INSUMOS Analitica'!I46</f>
        <v>24.96</v>
      </c>
      <c r="F34" s="247">
        <f t="shared" si="0"/>
        <v>74.88</v>
      </c>
    </row>
    <row r="35" spans="1:6" ht="36.75" thickBot="1" x14ac:dyDescent="0.3">
      <c r="A35" s="242">
        <f>'INSUMOS Analitica'!A47</f>
        <v>28</v>
      </c>
      <c r="B35" s="304" t="str">
        <f>'INSUMOS Analitica'!B47</f>
        <v xml:space="preserve">SACO PLÁSTICO para lixo de 100 litros, pacote com 100 unidades, classe I, em resina termoplástica preferencialmente reciclada, 75 x 85 x 05, reforçado. </v>
      </c>
      <c r="C35" s="254" t="str">
        <f>'INSUMOS Analitica'!C47</f>
        <v>Pacote</v>
      </c>
      <c r="D35" s="251">
        <v>3</v>
      </c>
      <c r="E35" s="730">
        <f>'INSUMOS Analitica'!I47</f>
        <v>42.47</v>
      </c>
      <c r="F35" s="256">
        <f t="shared" si="0"/>
        <v>127.41</v>
      </c>
    </row>
    <row r="36" spans="1:6" ht="15.75" thickBot="1" x14ac:dyDescent="0.3">
      <c r="A36" s="257"/>
      <c r="B36" s="257"/>
      <c r="C36" s="1262" t="s">
        <v>236</v>
      </c>
      <c r="D36" s="1262"/>
      <c r="E36" s="1262"/>
      <c r="F36" s="258">
        <f>SUM(F13:F35)</f>
        <v>760.6400000000001</v>
      </c>
    </row>
    <row r="37" spans="1:6" ht="15.75" thickBot="1" x14ac:dyDescent="0.3">
      <c r="A37" s="1263" t="s">
        <v>245</v>
      </c>
      <c r="B37" s="1264"/>
      <c r="C37" s="1193"/>
      <c r="D37" s="1194"/>
      <c r="E37" s="259"/>
      <c r="F37" s="260"/>
    </row>
    <row r="38" spans="1:6" ht="24.75" thickTop="1" x14ac:dyDescent="0.25">
      <c r="A38" s="238" t="s">
        <v>109</v>
      </c>
      <c r="B38" s="238" t="s">
        <v>201</v>
      </c>
      <c r="C38" s="238" t="s">
        <v>202</v>
      </c>
      <c r="D38" s="239" t="s">
        <v>391</v>
      </c>
      <c r="E38" s="240" t="s">
        <v>39</v>
      </c>
      <c r="F38" s="241" t="s">
        <v>392</v>
      </c>
    </row>
    <row r="39" spans="1:6" ht="36" x14ac:dyDescent="0.25">
      <c r="A39" s="261">
        <f>'INSUMOS Analitica'!A60</f>
        <v>1</v>
      </c>
      <c r="B39" s="262" t="str">
        <f>'INSUMOS Analitica'!B60</f>
        <v>AÇÚCAR branco, refinado, pacote de 5 kg, com no mínimo 10 meses de prazo para expirar o prazo de validade no momento da entrega. Marcas de referência: União, Duçula e Alto Alegre.</v>
      </c>
      <c r="C39" s="244" t="str">
        <f>'INSUMOS Analitica'!C60</f>
        <v>Pacote</v>
      </c>
      <c r="D39" s="263">
        <v>1</v>
      </c>
      <c r="E39" s="246">
        <f>'INSUMOS Analitica'!I60</f>
        <v>29.57</v>
      </c>
      <c r="F39" s="246">
        <f>ROUND(E39*D39,2)</f>
        <v>29.57</v>
      </c>
    </row>
    <row r="40" spans="1:6" ht="36" x14ac:dyDescent="0.25">
      <c r="A40" s="248">
        <f>'INSUMOS Analitica'!A61</f>
        <v>2</v>
      </c>
      <c r="B40" s="264" t="str">
        <f>'INSUMOS Analitica'!B61</f>
        <v>CAFÉ TORRADO E MOÍDO EMBALAGEM ALTO VÁCUO - embalado à puro vácuo em embalagens de 500 gramas. Marcas de referência: Melitta, Damasco ou 3 Corações</v>
      </c>
      <c r="C40" s="250" t="str">
        <f>'INSUMOS Analitica'!C61</f>
        <v>Pacote</v>
      </c>
      <c r="D40" s="250">
        <v>5</v>
      </c>
      <c r="E40" s="252">
        <f>'INSUMOS Analitica'!I61</f>
        <v>25.08</v>
      </c>
      <c r="F40" s="265">
        <f>ROUND(E40*D40,2)</f>
        <v>125.4</v>
      </c>
    </row>
    <row r="41" spans="1:6" ht="36" x14ac:dyDescent="0.25">
      <c r="A41" s="261">
        <f>'INSUMOS Analitica'!A62</f>
        <v>3</v>
      </c>
      <c r="B41" s="262" t="str">
        <f>'INSUMOS Analitica'!B62</f>
        <v>CHÁ MATE NATURAL, embalado em caixinhas com peso líquido de aproximadamente 40g, distribuído em 20 ou 25 saches. Marcas de referência: Real ou Leão.</v>
      </c>
      <c r="C41" s="244" t="str">
        <f>'INSUMOS Analitica'!C62</f>
        <v>Caixa</v>
      </c>
      <c r="D41" s="263">
        <v>3</v>
      </c>
      <c r="E41" s="246">
        <f>'INSUMOS Analitica'!I62</f>
        <v>4.8899999999999997</v>
      </c>
      <c r="F41" s="246">
        <f>ROUND(E41*D41,2)</f>
        <v>14.67</v>
      </c>
    </row>
    <row r="42" spans="1:6" ht="24" x14ac:dyDescent="0.25">
      <c r="A42" s="261">
        <f>'INSUMOS Analitica'!A63</f>
        <v>4</v>
      </c>
      <c r="B42" s="262" t="str">
        <f>'INSUMOS Analitica'!B63</f>
        <v>FILTRO DE PAPEL para café, número 103, caixa com 30 unidades. Marcas de referência: Melitta, 3 Corações ou Itamaraty.</v>
      </c>
      <c r="C42" s="244" t="str">
        <f>'INSUMOS Analitica'!C63</f>
        <v>Caixa</v>
      </c>
      <c r="D42" s="263">
        <v>1</v>
      </c>
      <c r="E42" s="252">
        <f>'INSUMOS Analitica'!I63</f>
        <v>6.94</v>
      </c>
      <c r="F42" s="246">
        <f>ROUND(E42*D42,2)</f>
        <v>6.94</v>
      </c>
    </row>
    <row r="43" spans="1:6" ht="24.75" thickBot="1" x14ac:dyDescent="0.3">
      <c r="A43" s="266">
        <f>'INSUMOS Analitica'!A65</f>
        <v>6</v>
      </c>
      <c r="B43" s="249" t="str">
        <f>'INSUMOS Analitica'!B65</f>
        <v>GÁS de cozinha (GLP), botijão de 45 kg (P 45). Rateio mensal da estimativa.</v>
      </c>
      <c r="C43" s="267" t="str">
        <f>'INSUMOS Analitica'!C65</f>
        <v>Botijão</v>
      </c>
      <c r="D43" s="250">
        <v>0.6</v>
      </c>
      <c r="E43" s="252">
        <f>'INSUMOS Analitica'!$I$65</f>
        <v>526.5</v>
      </c>
      <c r="F43" s="265">
        <f>ROUND(E43*D43,2)</f>
        <v>315.89999999999998</v>
      </c>
    </row>
    <row r="44" spans="1:6" ht="15.75" thickBot="1" x14ac:dyDescent="0.3">
      <c r="A44" s="257"/>
      <c r="B44" s="257"/>
      <c r="C44" s="1262" t="s">
        <v>380</v>
      </c>
      <c r="D44" s="1262"/>
      <c r="E44" s="1262"/>
      <c r="F44" s="258">
        <f>SUM(F39:F43)</f>
        <v>492.47999999999996</v>
      </c>
    </row>
    <row r="45" spans="1:6" ht="15.75" thickBot="1" x14ac:dyDescent="0.3">
      <c r="A45" s="257"/>
      <c r="B45" s="257"/>
      <c r="C45" s="268"/>
      <c r="D45" s="268"/>
      <c r="E45" s="268"/>
      <c r="F45" s="269"/>
    </row>
    <row r="46" spans="1:6" ht="16.5" thickBot="1" x14ac:dyDescent="0.3">
      <c r="A46" s="270"/>
      <c r="B46" s="1239" t="s">
        <v>393</v>
      </c>
      <c r="C46" s="1239"/>
      <c r="D46" s="1239"/>
      <c r="E46" s="1240"/>
      <c r="F46" s="271">
        <f>F36+F44</f>
        <v>1253.1200000000001</v>
      </c>
    </row>
    <row r="47" spans="1:6" ht="15.75" x14ac:dyDescent="0.25">
      <c r="A47" s="272"/>
      <c r="B47" s="272"/>
      <c r="C47" s="272"/>
      <c r="D47" s="273"/>
      <c r="E47" s="274"/>
      <c r="F47" s="274"/>
    </row>
    <row r="48" spans="1:6" ht="15.75" hidden="1" x14ac:dyDescent="0.25">
      <c r="A48" s="1257" t="s">
        <v>309</v>
      </c>
      <c r="B48" s="1265"/>
      <c r="C48" s="1265"/>
      <c r="D48" s="1265"/>
      <c r="E48" s="1265"/>
      <c r="F48" s="1265"/>
    </row>
    <row r="49" spans="1:6" ht="30" hidden="1" customHeight="1" thickBot="1" x14ac:dyDescent="0.3">
      <c r="A49" s="275" t="s">
        <v>310</v>
      </c>
      <c r="B49" s="276"/>
      <c r="C49" s="277"/>
      <c r="D49" s="278"/>
      <c r="E49" s="279"/>
      <c r="F49" s="280"/>
    </row>
    <row r="50" spans="1:6" ht="24.75" hidden="1" thickTop="1" x14ac:dyDescent="0.25">
      <c r="A50" s="238" t="s">
        <v>109</v>
      </c>
      <c r="B50" s="238" t="s">
        <v>201</v>
      </c>
      <c r="C50" s="281" t="s">
        <v>253</v>
      </c>
      <c r="D50" s="18" t="s">
        <v>311</v>
      </c>
      <c r="E50" s="281" t="s">
        <v>39</v>
      </c>
      <c r="F50" s="282" t="s">
        <v>312</v>
      </c>
    </row>
    <row r="51" spans="1:6" hidden="1" x14ac:dyDescent="0.25">
      <c r="A51" s="261">
        <f>'INSUMOS Analitica'!A72</f>
        <v>1</v>
      </c>
      <c r="B51" s="264" t="str">
        <f>'INSUMOS Analitica'!B72</f>
        <v>Rodo de limpeza, com lâmina dupla de 60cm, com cabo de madeira.</v>
      </c>
      <c r="C51" s="250">
        <v>0</v>
      </c>
      <c r="D51" s="283">
        <v>4</v>
      </c>
      <c r="E51" s="284">
        <f>'INSUMOS Analitica'!G72</f>
        <v>11.69</v>
      </c>
      <c r="F51" s="285">
        <f>ROUND(E51*C51/D51,2)</f>
        <v>0</v>
      </c>
    </row>
    <row r="52" spans="1:6" hidden="1" x14ac:dyDescent="0.25">
      <c r="A52" s="248">
        <f>'INSUMOS Analitica'!A74</f>
        <v>3</v>
      </c>
      <c r="B52" s="262" t="str">
        <f>'INSUMOS Analitica'!B74</f>
        <v>Vassoura em nylon, cerdas resistentes, com cabo de madeira.</v>
      </c>
      <c r="C52" s="244">
        <v>0</v>
      </c>
      <c r="D52" s="286">
        <v>4</v>
      </c>
      <c r="E52" s="287">
        <f>'INSUMOS Analitica'!G74</f>
        <v>8.84</v>
      </c>
      <c r="F52" s="288">
        <f>ROUND(E52*C52/D52,2)</f>
        <v>0</v>
      </c>
    </row>
    <row r="53" spans="1:6" hidden="1" x14ac:dyDescent="0.25">
      <c r="A53" s="261">
        <f>'INSUMOS Analitica'!A77</f>
        <v>4</v>
      </c>
      <c r="B53" s="262" t="str">
        <f>'INSUMOS Analitica'!B77</f>
        <v>Balde plástico, de 15 litros, com alça reforçada.</v>
      </c>
      <c r="C53" s="244">
        <v>0</v>
      </c>
      <c r="D53" s="286">
        <v>4</v>
      </c>
      <c r="E53" s="287">
        <f>'INSUMOS Analitica'!G77</f>
        <v>11.04</v>
      </c>
      <c r="F53" s="288">
        <f>ROUND(E53*C53/D53,2)</f>
        <v>0</v>
      </c>
    </row>
    <row r="54" spans="1:6" ht="24" hidden="1" x14ac:dyDescent="0.25">
      <c r="A54" s="248">
        <f>'INSUMOS Analitica'!A78</f>
        <v>5</v>
      </c>
      <c r="B54" s="264" t="str">
        <f>'INSUMOS Analitica'!B78</f>
        <v>Desentupidor para pia; confeccionado em borracha natural; com cabo de madeira curto.</v>
      </c>
      <c r="C54" s="250">
        <v>0</v>
      </c>
      <c r="D54" s="283">
        <v>4</v>
      </c>
      <c r="E54" s="284">
        <f>'INSUMOS Analitica'!G78</f>
        <v>5.99</v>
      </c>
      <c r="F54" s="285">
        <f>ROUND(E54*C54/D54,2)</f>
        <v>0</v>
      </c>
    </row>
    <row r="55" spans="1:6" ht="24" hidden="1" x14ac:dyDescent="0.25">
      <c r="A55" s="261">
        <f>'INSUMOS Analitica'!A79</f>
        <v>6</v>
      </c>
      <c r="B55" s="262" t="str">
        <f>'INSUMOS Analitica'!B79</f>
        <v>Desentupidor para vaso sanitário; confeccionado em borracha natural; com cabo de madeira longo.</v>
      </c>
      <c r="C55" s="244">
        <v>0</v>
      </c>
      <c r="D55" s="286">
        <v>4</v>
      </c>
      <c r="E55" s="287">
        <f>'INSUMOS Analitica'!G79</f>
        <v>9.76</v>
      </c>
      <c r="F55" s="288">
        <f t="shared" ref="F55:F59" si="1">ROUND(E55*C55/D55,2)</f>
        <v>0</v>
      </c>
    </row>
    <row r="56" spans="1:6" hidden="1" x14ac:dyDescent="0.25">
      <c r="A56" s="248">
        <f>'INSUMOS Analitica'!A80</f>
        <v>7</v>
      </c>
      <c r="B56" s="264" t="str">
        <f>'INSUMOS Analitica'!B80</f>
        <v>Escova sanitária em plástico, com suporte.</v>
      </c>
      <c r="C56" s="250">
        <v>0</v>
      </c>
      <c r="D56" s="283">
        <v>4</v>
      </c>
      <c r="E56" s="284">
        <f>'INSUMOS Analitica'!G80</f>
        <v>7.53</v>
      </c>
      <c r="F56" s="285">
        <f t="shared" si="1"/>
        <v>0</v>
      </c>
    </row>
    <row r="57" spans="1:6" hidden="1" x14ac:dyDescent="0.25">
      <c r="A57" s="261">
        <f>'INSUMOS Analitica'!A81</f>
        <v>8</v>
      </c>
      <c r="B57" s="262" t="str">
        <f>'INSUMOS Analitica'!B81</f>
        <v>Espátula de aço inox, com cabo de madeira.</v>
      </c>
      <c r="C57" s="244">
        <v>0</v>
      </c>
      <c r="D57" s="286">
        <v>4</v>
      </c>
      <c r="E57" s="287">
        <f>'INSUMOS Analitica'!G81</f>
        <v>3.54</v>
      </c>
      <c r="F57" s="288">
        <f t="shared" si="1"/>
        <v>0</v>
      </c>
    </row>
    <row r="58" spans="1:6" hidden="1" x14ac:dyDescent="0.25">
      <c r="A58" s="248">
        <f>'INSUMOS Analitica'!A82</f>
        <v>9</v>
      </c>
      <c r="B58" s="264" t="str">
        <f>'INSUMOS Analitica'!B82</f>
        <v>Pá para lixo, plástica, com cabo longo de madeira.</v>
      </c>
      <c r="C58" s="250">
        <v>0</v>
      </c>
      <c r="D58" s="283">
        <v>4</v>
      </c>
      <c r="E58" s="284">
        <f>'INSUMOS Analitica'!G82</f>
        <v>6.19</v>
      </c>
      <c r="F58" s="285">
        <f t="shared" si="1"/>
        <v>0</v>
      </c>
    </row>
    <row r="59" spans="1:6" ht="24" hidden="1" x14ac:dyDescent="0.25">
      <c r="A59" s="261">
        <f>'INSUMOS Analitica'!A88</f>
        <v>13</v>
      </c>
      <c r="B59" s="262" t="str">
        <f>'INSUMOS Analitica'!B88</f>
        <v>Placa sinalizadora de piso molhado, em plástico reforçado, medidas aproximadas de 30 X 60 cm.</v>
      </c>
      <c r="C59" s="244">
        <v>0</v>
      </c>
      <c r="D59" s="286">
        <v>4</v>
      </c>
      <c r="E59" s="287">
        <f>'INSUMOS Analitica'!G88</f>
        <v>31.59</v>
      </c>
      <c r="F59" s="288">
        <f t="shared" si="1"/>
        <v>0</v>
      </c>
    </row>
    <row r="60" spans="1:6" hidden="1" x14ac:dyDescent="0.25">
      <c r="A60" s="289"/>
      <c r="B60" s="289"/>
      <c r="C60" s="289"/>
      <c r="D60" s="290"/>
      <c r="E60" s="291" t="s">
        <v>190</v>
      </c>
      <c r="F60" s="292">
        <f>SUM(F53:F59)</f>
        <v>0</v>
      </c>
    </row>
    <row r="61" spans="1:6" ht="15.75" hidden="1" thickBot="1" x14ac:dyDescent="0.3">
      <c r="A61" s="270"/>
      <c r="B61" s="196"/>
      <c r="C61" s="293"/>
      <c r="D61" s="294"/>
      <c r="E61" s="280"/>
      <c r="F61" s="280"/>
    </row>
    <row r="62" spans="1:6" ht="16.5" hidden="1" thickBot="1" x14ac:dyDescent="0.3">
      <c r="A62" s="270"/>
      <c r="B62" s="1239" t="s">
        <v>313</v>
      </c>
      <c r="C62" s="1239"/>
      <c r="D62" s="1239"/>
      <c r="E62" s="1240"/>
      <c r="F62" s="271">
        <f>F60</f>
        <v>0</v>
      </c>
    </row>
    <row r="63" spans="1:6" hidden="1" x14ac:dyDescent="0.25">
      <c r="A63" s="270"/>
      <c r="B63" s="196"/>
      <c r="C63" s="293"/>
      <c r="D63" s="294"/>
      <c r="E63" s="280"/>
      <c r="F63" s="280"/>
    </row>
    <row r="64" spans="1:6" ht="15.75" x14ac:dyDescent="0.25">
      <c r="A64" s="1257" t="s">
        <v>314</v>
      </c>
      <c r="B64" s="1265"/>
      <c r="C64" s="1265"/>
      <c r="D64" s="1265"/>
      <c r="E64" s="1265"/>
      <c r="F64" s="1266"/>
    </row>
    <row r="65" spans="1:6" ht="30" customHeight="1" thickBot="1" x14ac:dyDescent="0.3">
      <c r="A65" s="295" t="s">
        <v>315</v>
      </c>
      <c r="B65" s="296"/>
      <c r="C65" s="297"/>
      <c r="D65" s="278"/>
      <c r="E65" s="279"/>
      <c r="F65" s="279"/>
    </row>
    <row r="66" spans="1:6" ht="36.75" thickTop="1" x14ac:dyDescent="0.25">
      <c r="A66" s="238" t="s">
        <v>109</v>
      </c>
      <c r="B66" s="238" t="s">
        <v>201</v>
      </c>
      <c r="C66" s="281" t="s">
        <v>372</v>
      </c>
      <c r="D66" s="18" t="s">
        <v>311</v>
      </c>
      <c r="E66" s="238" t="s">
        <v>39</v>
      </c>
      <c r="F66" s="298" t="s">
        <v>312</v>
      </c>
    </row>
    <row r="67" spans="1:6" x14ac:dyDescent="0.25">
      <c r="A67" s="299">
        <f>'INSUMOS Analitica'!A100</f>
        <v>1</v>
      </c>
      <c r="B67" s="300" t="str">
        <f>'INSUMOS Analitica'!B100</f>
        <v>Par de meias com cano longo, tecido 100% algodão, cor preta.</v>
      </c>
      <c r="C67" s="250">
        <v>5</v>
      </c>
      <c r="D67" s="283">
        <v>4</v>
      </c>
      <c r="E67" s="301">
        <f>'INSUMOS Analitica'!I100</f>
        <v>11.7</v>
      </c>
      <c r="F67" s="302">
        <f>E67/D67</f>
        <v>2.9249999999999998</v>
      </c>
    </row>
    <row r="68" spans="1:6" ht="24" x14ac:dyDescent="0.25">
      <c r="A68" s="303">
        <f>'INSUMOS Analitica'!A109</f>
        <v>2</v>
      </c>
      <c r="B68" s="304" t="str">
        <f>'INSUMOS Analitica'!B109</f>
        <v>Bata de limpeza avental duplo, com bolso frontal, em tecido oxford, cor PRETA, com identificação da contratada</v>
      </c>
      <c r="C68" s="305">
        <v>1</v>
      </c>
      <c r="D68" s="286">
        <v>4</v>
      </c>
      <c r="E68" s="306">
        <f>'INSUMOS Analitica'!I109</f>
        <v>37.25</v>
      </c>
      <c r="F68" s="288">
        <f t="shared" ref="F68:F73" si="2">E68/D68</f>
        <v>9.3125</v>
      </c>
    </row>
    <row r="69" spans="1:6" ht="36" x14ac:dyDescent="0.25">
      <c r="A69" s="299">
        <f>'INSUMOS Analitica'!A110</f>
        <v>3</v>
      </c>
      <c r="B69" s="300" t="str">
        <f>'INSUMOS Analitica'!B110</f>
        <v>Blusa de moleton, 100% poliéster, na cor PRETA, tecido flanelado, sem abertura na parte frontal, com bolsos nas laterais, sem capuz, com ribana na gola, manga e barra.</v>
      </c>
      <c r="C69" s="250">
        <v>2</v>
      </c>
      <c r="D69" s="283">
        <v>4</v>
      </c>
      <c r="E69" s="301">
        <f>'INSUMOS Analitica'!I110</f>
        <v>71.099999999999994</v>
      </c>
      <c r="F69" s="285">
        <f t="shared" si="2"/>
        <v>17.774999999999999</v>
      </c>
    </row>
    <row r="70" spans="1:6" ht="24" x14ac:dyDescent="0.25">
      <c r="A70" s="303">
        <f>'INSUMOS Analitica'!A111</f>
        <v>4</v>
      </c>
      <c r="B70" s="304" t="str">
        <f>'INSUMOS Analitica'!B111</f>
        <v>Calça de malha escolar, 100% poliéster, cor PRETA, com bolso nas laterais</v>
      </c>
      <c r="C70" s="305">
        <v>2</v>
      </c>
      <c r="D70" s="286">
        <v>4</v>
      </c>
      <c r="E70" s="306">
        <f>'INSUMOS Analitica'!I111</f>
        <v>40.43</v>
      </c>
      <c r="F70" s="288">
        <f t="shared" si="2"/>
        <v>10.1075</v>
      </c>
    </row>
    <row r="71" spans="1:6" ht="36" x14ac:dyDescent="0.25">
      <c r="A71" s="299">
        <f>'INSUMOS Analitica'!A112</f>
        <v>5</v>
      </c>
      <c r="B71" s="300" t="str">
        <f>'INSUMOS Analitica'!B112</f>
        <v>Camiseta com mangas curtas, tecido poliviscose (67% poliéster e 33% viscose), anti pilling, gola com ribana, cor BRANCA, com identificação da contratada.</v>
      </c>
      <c r="C71" s="250">
        <v>3</v>
      </c>
      <c r="D71" s="283">
        <v>4</v>
      </c>
      <c r="E71" s="301">
        <f>'INSUMOS Analitica'!I112</f>
        <v>40.5</v>
      </c>
      <c r="F71" s="285">
        <f t="shared" si="2"/>
        <v>10.125</v>
      </c>
    </row>
    <row r="72" spans="1:6" ht="36" x14ac:dyDescent="0.25">
      <c r="A72" s="303">
        <f>'INSUMOS Analitica'!A115</f>
        <v>8</v>
      </c>
      <c r="B72" s="304" t="str">
        <f>'INSUMOS Analitica'!B115</f>
        <v>Sapato de segurança profissional, antiderrapante, de EVA, na cor preta, confortável. Marca de referência: Soft Works e Marluvas (Flex Clean).</v>
      </c>
      <c r="C72" s="305">
        <v>1</v>
      </c>
      <c r="D72" s="286">
        <v>4</v>
      </c>
      <c r="E72" s="306">
        <f>'INSUMOS Analitica'!I115</f>
        <v>95.7</v>
      </c>
      <c r="F72" s="307">
        <f>E72/D72</f>
        <v>23.925000000000001</v>
      </c>
    </row>
    <row r="73" spans="1:6" ht="24" x14ac:dyDescent="0.25">
      <c r="A73" s="303">
        <f>'INSUMOS Analitica'!A119</f>
        <v>10</v>
      </c>
      <c r="B73" s="308" t="str">
        <f>'INSUMOS Analitica'!B119</f>
        <v>Crachá de plástico resistente, com foto, nome e identificação da empresa.</v>
      </c>
      <c r="C73" s="254">
        <v>1</v>
      </c>
      <c r="D73" s="286">
        <v>4</v>
      </c>
      <c r="E73" s="309">
        <f>'INSUMOS Analitica'!I119</f>
        <v>3.83</v>
      </c>
      <c r="F73" s="288">
        <f t="shared" si="2"/>
        <v>0.95750000000000002</v>
      </c>
    </row>
    <row r="74" spans="1:6" x14ac:dyDescent="0.25">
      <c r="A74" s="310"/>
      <c r="B74" s="310"/>
      <c r="C74" s="310"/>
      <c r="D74" s="257"/>
      <c r="E74" s="311"/>
      <c r="F74" s="292">
        <f>SUM(F67:F73)</f>
        <v>75.127499999999998</v>
      </c>
    </row>
    <row r="75" spans="1:6" ht="15.75" thickBot="1" x14ac:dyDescent="0.3">
      <c r="A75" s="310"/>
      <c r="B75" s="310"/>
      <c r="C75" s="310"/>
      <c r="D75" s="268"/>
      <c r="E75" s="235"/>
      <c r="F75" s="235"/>
    </row>
    <row r="76" spans="1:6" ht="16.5" thickBot="1" x14ac:dyDescent="0.3">
      <c r="A76" s="270"/>
      <c r="B76" s="1239" t="s">
        <v>316</v>
      </c>
      <c r="C76" s="1239"/>
      <c r="D76" s="1239"/>
      <c r="E76" s="1240"/>
      <c r="F76" s="271">
        <f>F74</f>
        <v>75.127499999999998</v>
      </c>
    </row>
    <row r="77" spans="1:6" x14ac:dyDescent="0.25">
      <c r="A77" s="231"/>
      <c r="B77" s="231"/>
      <c r="C77" s="231"/>
      <c r="D77" s="231"/>
      <c r="E77" s="231"/>
      <c r="F77" s="231"/>
    </row>
  </sheetData>
  <sheetProtection algorithmName="SHA-512" hashValue="Vj7JeIvTPhwucw6p4QeOkBxbxIGcI4s6zde97nnT4G4Y9WtcDsUmmyChCOlCo1NbZZQO+TEXt20SA35/vUULCA==" saltValue="dDBRnQU0yHpXfW4pQfPmTg==" spinCount="100000" sheet="1" objects="1" scenarios="1" selectLockedCells="1"/>
  <mergeCells count="18">
    <mergeCell ref="A6:F6"/>
    <mergeCell ref="A1:F1"/>
    <mergeCell ref="A2:F2"/>
    <mergeCell ref="A3:F3"/>
    <mergeCell ref="A4:F4"/>
    <mergeCell ref="A5:F5"/>
    <mergeCell ref="B76:E76"/>
    <mergeCell ref="A8:F8"/>
    <mergeCell ref="A10:F10"/>
    <mergeCell ref="A11:B11"/>
    <mergeCell ref="C36:E36"/>
    <mergeCell ref="A37:B37"/>
    <mergeCell ref="C37:D37"/>
    <mergeCell ref="C44:E44"/>
    <mergeCell ref="B46:E46"/>
    <mergeCell ref="A48:F48"/>
    <mergeCell ref="B62:E62"/>
    <mergeCell ref="A64:F64"/>
  </mergeCells>
  <printOptions horizontalCentered="1"/>
  <pageMargins left="0.78740157480314965" right="0.78740157480314965" top="0.78740157480314965" bottom="0.78740157480314965" header="0.31496062992125984" footer="0.31496062992125984"/>
  <pageSetup paperSize="9" scale="73" fitToHeight="5" orientation="portrait" r:id="rId1"/>
  <headerFooter>
    <oddHeader>&amp;R&amp;P</oddHeader>
    <oddFooter>&amp;L&amp;9SACCON/CPC/SECAD&amp;C&amp;8Última alteração por KETLYN &amp;D&amp;R&amp;9&amp;A
Página &amp;P/&amp;N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77"/>
  <sheetViews>
    <sheetView showGridLines="0" view="pageBreakPreview" topLeftCell="A35" zoomScaleNormal="100" zoomScaleSheetLayoutView="100" workbookViewId="0">
      <selection activeCell="C53" sqref="C53"/>
    </sheetView>
  </sheetViews>
  <sheetFormatPr defaultRowHeight="15" x14ac:dyDescent="0.25"/>
  <cols>
    <col min="1" max="1" width="5.85546875" style="401" customWidth="1"/>
    <col min="2" max="2" width="58.42578125" style="401" customWidth="1"/>
    <col min="3" max="3" width="15.7109375" style="401" customWidth="1"/>
    <col min="4" max="4" width="14.7109375" style="401" customWidth="1"/>
    <col min="5" max="6" width="15.7109375" style="401" customWidth="1"/>
    <col min="7" max="8" width="14.7109375" style="401" customWidth="1"/>
    <col min="9" max="9" width="15.7109375" style="401" customWidth="1"/>
    <col min="10" max="10" width="9.42578125" style="401" bestFit="1" customWidth="1"/>
    <col min="11" max="11" width="10.5703125" style="401" bestFit="1" customWidth="1"/>
    <col min="12" max="12" width="9.140625" style="401"/>
    <col min="13" max="13" width="10.5703125" style="401" bestFit="1" customWidth="1"/>
    <col min="14" max="16384" width="9.140625" style="401"/>
  </cols>
  <sheetData>
    <row r="1" spans="1:9" ht="15.75" x14ac:dyDescent="0.25">
      <c r="A1" s="1231" t="str">
        <f>'POSTOS e RESUMO'!A1:U1</f>
        <v>TRIBUNAL REGIONAL ELEITORAL DO PARANÁ</v>
      </c>
      <c r="B1" s="1231"/>
      <c r="C1" s="1231"/>
      <c r="D1" s="1231"/>
      <c r="E1" s="1231"/>
      <c r="F1" s="1231"/>
      <c r="G1" s="1231"/>
      <c r="H1" s="1231"/>
      <c r="I1" s="1231"/>
    </row>
    <row r="2" spans="1:9" x14ac:dyDescent="0.25">
      <c r="A2" s="1335" t="str">
        <f>'POSTOS e RESUMO'!A2:U2</f>
        <v>PLANILHA DE FORMAÇÃO DE CUSTOS E PREÇOS - Estimativa TRE-PR</v>
      </c>
      <c r="B2" s="1336"/>
      <c r="C2" s="1336"/>
      <c r="D2" s="1336"/>
      <c r="E2" s="1336"/>
      <c r="F2" s="1336"/>
      <c r="G2" s="1336"/>
      <c r="H2" s="1336"/>
      <c r="I2" s="1336"/>
    </row>
    <row r="3" spans="1:9" x14ac:dyDescent="0.25">
      <c r="A3" s="1335" t="str">
        <f>'POSTOS e RESUMO'!A3:U3</f>
        <v>Serviços de Limpeza, Copeiragem, Manutenção de Áreas Verdes e Limpeza em Altura - Polo 4 - Maringá e Região</v>
      </c>
      <c r="B3" s="1336"/>
      <c r="C3" s="1336"/>
      <c r="D3" s="1336"/>
      <c r="E3" s="1336"/>
      <c r="F3" s="1336"/>
      <c r="G3" s="1336"/>
      <c r="H3" s="1336"/>
      <c r="I3" s="1336"/>
    </row>
    <row r="4" spans="1:9" ht="15.75" thickBot="1" x14ac:dyDescent="0.3">
      <c r="A4" s="194"/>
      <c r="B4" s="195"/>
      <c r="C4" s="194"/>
      <c r="D4" s="194"/>
      <c r="E4" s="194"/>
      <c r="F4" s="194"/>
      <c r="G4" s="194"/>
      <c r="H4" s="194"/>
      <c r="I4" s="194"/>
    </row>
    <row r="5" spans="1:9" x14ac:dyDescent="0.25">
      <c r="A5" s="1337" t="str">
        <f>'POSTOS e RESUMO'!A8:U8</f>
        <v>EMPRESA</v>
      </c>
      <c r="B5" s="1338"/>
      <c r="C5" s="1338"/>
      <c r="D5" s="1338"/>
      <c r="E5" s="1338"/>
      <c r="F5" s="1338"/>
      <c r="G5" s="1338"/>
      <c r="H5" s="1338"/>
      <c r="I5" s="1339"/>
    </row>
    <row r="6" spans="1:9" ht="15.75" thickBot="1" x14ac:dyDescent="0.3">
      <c r="A6" s="1340" t="str">
        <f>'POSTOS e RESUMO'!A9:U9</f>
        <v>CNPJ</v>
      </c>
      <c r="B6" s="1341"/>
      <c r="C6" s="1341"/>
      <c r="D6" s="1341"/>
      <c r="E6" s="1341"/>
      <c r="F6" s="1341"/>
      <c r="G6" s="1341"/>
      <c r="H6" s="1341"/>
      <c r="I6" s="1342"/>
    </row>
    <row r="7" spans="1:9" ht="15.75" thickBot="1" x14ac:dyDescent="0.3">
      <c r="A7" s="1333"/>
      <c r="B7" s="1334"/>
      <c r="C7" s="1334"/>
      <c r="D7" s="1334"/>
      <c r="E7" s="1334"/>
      <c r="F7" s="1334"/>
      <c r="G7" s="1334"/>
      <c r="H7" s="1334"/>
      <c r="I7" s="1334"/>
    </row>
    <row r="8" spans="1:9" ht="30" customHeight="1" thickBot="1" x14ac:dyDescent="0.3">
      <c r="A8" s="1328" t="s">
        <v>421</v>
      </c>
      <c r="B8" s="1329"/>
      <c r="C8" s="1329"/>
      <c r="D8" s="1329"/>
      <c r="E8" s="1329"/>
      <c r="F8" s="1329"/>
      <c r="G8" s="1329"/>
      <c r="H8" s="1329"/>
      <c r="I8" s="1330"/>
    </row>
    <row r="9" spans="1:9" x14ac:dyDescent="0.25">
      <c r="A9" s="196"/>
      <c r="B9" s="197"/>
      <c r="C9" s="761"/>
      <c r="D9" s="196"/>
      <c r="E9" s="196"/>
      <c r="F9" s="196"/>
      <c r="G9" s="196"/>
      <c r="H9" s="196"/>
      <c r="I9" s="196"/>
    </row>
    <row r="10" spans="1:9" ht="25.5" x14ac:dyDescent="0.25">
      <c r="A10" s="198" t="s">
        <v>8</v>
      </c>
      <c r="B10" s="199" t="s">
        <v>317</v>
      </c>
      <c r="C10" s="200" t="s">
        <v>459</v>
      </c>
      <c r="D10" s="1213" t="s">
        <v>460</v>
      </c>
      <c r="E10" s="1215"/>
      <c r="F10" s="196"/>
      <c r="G10" s="196"/>
      <c r="H10" s="196"/>
      <c r="I10" s="196"/>
    </row>
    <row r="11" spans="1:9" x14ac:dyDescent="0.25">
      <c r="A11" s="201">
        <f>'POSTOS e RESUMO'!A20</f>
        <v>1</v>
      </c>
      <c r="B11" s="202" t="str">
        <f>'POSTOS e RESUMO'!B20</f>
        <v>Auxiliar de limpeza - Demais Fóruns Eleitorais</v>
      </c>
      <c r="C11" s="708">
        <f>'POSTOS e RESUMO'!C20</f>
        <v>20</v>
      </c>
      <c r="D11" s="1331">
        <f>C11*5</f>
        <v>100</v>
      </c>
      <c r="E11" s="1331"/>
      <c r="F11" s="196"/>
      <c r="G11" s="196"/>
      <c r="H11" s="196"/>
      <c r="I11" s="196"/>
    </row>
    <row r="12" spans="1:9" x14ac:dyDescent="0.25">
      <c r="A12" s="204">
        <f>'POSTOS e RESUMO'!A21</f>
        <v>2</v>
      </c>
      <c r="B12" s="205" t="str">
        <f>'POSTOS e RESUMO'!B21</f>
        <v>Auxiliar de limpeza - Fórum Eleitoral de PARANAVAÍ</v>
      </c>
      <c r="C12" s="709">
        <f>'POSTOS e RESUMO'!C21</f>
        <v>35</v>
      </c>
      <c r="D12" s="1332">
        <f>C12*5</f>
        <v>175</v>
      </c>
      <c r="E12" s="1332"/>
      <c r="F12" s="196"/>
      <c r="G12" s="196"/>
      <c r="H12" s="196"/>
      <c r="I12" s="196"/>
    </row>
    <row r="13" spans="1:9" x14ac:dyDescent="0.25">
      <c r="A13" s="201">
        <f>'POSTOS e RESUMO'!A22</f>
        <v>3</v>
      </c>
      <c r="B13" s="202" t="str">
        <f>'POSTOS e RESUMO'!B22</f>
        <v>Auxiliar de limpeza - Fórum Eleitoral de MARINGÁ</v>
      </c>
      <c r="C13" s="708">
        <f>'POSTOS e RESUMO'!C22</f>
        <v>44</v>
      </c>
      <c r="D13" s="1331">
        <f>C13*5</f>
        <v>220</v>
      </c>
      <c r="E13" s="1331"/>
      <c r="F13" s="196"/>
      <c r="G13" s="196"/>
      <c r="H13" s="196"/>
      <c r="I13" s="196"/>
    </row>
    <row r="14" spans="1:9" ht="30" customHeight="1" thickBot="1" x14ac:dyDescent="0.3">
      <c r="A14" s="1322" t="s">
        <v>318</v>
      </c>
      <c r="B14" s="1192"/>
      <c r="C14" s="1192"/>
      <c r="D14" s="1192"/>
      <c r="E14" s="1192"/>
      <c r="F14" s="1192"/>
      <c r="G14" s="1192"/>
      <c r="H14" s="1192"/>
      <c r="I14" s="1192"/>
    </row>
    <row r="15" spans="1:9" ht="51.75" thickTop="1" x14ac:dyDescent="0.25">
      <c r="A15" s="1323" t="s">
        <v>8</v>
      </c>
      <c r="B15" s="1324" t="s">
        <v>317</v>
      </c>
      <c r="C15" s="1325" t="s">
        <v>363</v>
      </c>
      <c r="D15" s="1326" t="s">
        <v>319</v>
      </c>
      <c r="E15" s="199" t="s">
        <v>320</v>
      </c>
      <c r="F15" s="199" t="s">
        <v>321</v>
      </c>
      <c r="G15" s="1327" t="s">
        <v>10</v>
      </c>
      <c r="H15" s="199" t="s">
        <v>108</v>
      </c>
      <c r="I15" s="1325" t="s">
        <v>322</v>
      </c>
    </row>
    <row r="16" spans="1:9" x14ac:dyDescent="0.25">
      <c r="A16" s="1314"/>
      <c r="B16" s="1314"/>
      <c r="C16" s="1317"/>
      <c r="D16" s="1302"/>
      <c r="E16" s="206">
        <v>0.2</v>
      </c>
      <c r="F16" s="206">
        <f>E71/100</f>
        <v>0.39799999999999996</v>
      </c>
      <c r="G16" s="1302"/>
      <c r="H16" s="206">
        <f>CITL!F17</f>
        <v>0.35</v>
      </c>
      <c r="I16" s="1302"/>
    </row>
    <row r="17" spans="1:9" x14ac:dyDescent="0.25">
      <c r="A17" s="201">
        <f t="shared" ref="A17:B19" si="0">A11</f>
        <v>1</v>
      </c>
      <c r="B17" s="202" t="str">
        <f t="shared" si="0"/>
        <v>Auxiliar de limpeza - Demais Fóruns Eleitorais</v>
      </c>
      <c r="C17" s="207">
        <f>('POSTOS e RESUMO'!D20+'POSTOS e RESUMO'!E20)</f>
        <v>745.44999999999993</v>
      </c>
      <c r="D17" s="208">
        <f>(C17/(D11))*1.5</f>
        <v>11.181749999999999</v>
      </c>
      <c r="E17" s="208">
        <f>D17*$E$16</f>
        <v>2.2363499999999998</v>
      </c>
      <c r="F17" s="208">
        <f>(D17+E17)*$F$16</f>
        <v>5.3404037999999989</v>
      </c>
      <c r="G17" s="208">
        <f>D17+E17+F17</f>
        <v>18.7585038</v>
      </c>
      <c r="H17" s="208">
        <f>G17*$H$16</f>
        <v>6.5654763299999992</v>
      </c>
      <c r="I17" s="209">
        <f>ROUND((G17+H17),2)</f>
        <v>25.32</v>
      </c>
    </row>
    <row r="18" spans="1:9" x14ac:dyDescent="0.25">
      <c r="A18" s="204">
        <f t="shared" si="0"/>
        <v>2</v>
      </c>
      <c r="B18" s="205" t="str">
        <f t="shared" si="0"/>
        <v>Auxiliar de limpeza - Fórum Eleitoral de PARANAVAÍ</v>
      </c>
      <c r="C18" s="210">
        <f>('POSTOS e RESUMO'!D21+'POSTOS e RESUMO'!E21)</f>
        <v>1304.55</v>
      </c>
      <c r="D18" s="211">
        <f>(C18/(D12))*1.5</f>
        <v>11.181857142857144</v>
      </c>
      <c r="E18" s="211">
        <f>D18*$E$16</f>
        <v>2.2363714285714287</v>
      </c>
      <c r="F18" s="211">
        <f>(D18+E18)*$F$16</f>
        <v>5.3404549714285716</v>
      </c>
      <c r="G18" s="211">
        <f>D18+E18+F18</f>
        <v>18.758683542857145</v>
      </c>
      <c r="H18" s="211">
        <f>G18*$H$16</f>
        <v>6.5655392400000006</v>
      </c>
      <c r="I18" s="212">
        <f>ROUND((G18+H18),2)</f>
        <v>25.32</v>
      </c>
    </row>
    <row r="19" spans="1:9" x14ac:dyDescent="0.25">
      <c r="A19" s="201">
        <f t="shared" si="0"/>
        <v>3</v>
      </c>
      <c r="B19" s="202" t="str">
        <f t="shared" si="0"/>
        <v>Auxiliar de limpeza - Fórum Eleitoral de MARINGÁ</v>
      </c>
      <c r="C19" s="207">
        <f>('POSTOS e RESUMO'!D22+'POSTOS e RESUMO'!E22)</f>
        <v>1640</v>
      </c>
      <c r="D19" s="208">
        <f>(C19/(D13))*1.5</f>
        <v>11.181818181818182</v>
      </c>
      <c r="E19" s="208">
        <f>D19*$E$16</f>
        <v>2.2363636363636363</v>
      </c>
      <c r="F19" s="208">
        <f>(D19+E19)*$F$16</f>
        <v>5.3404363636363632</v>
      </c>
      <c r="G19" s="208">
        <f>D19+E19+F19</f>
        <v>18.758618181818182</v>
      </c>
      <c r="H19" s="208">
        <f>G19*$H$16</f>
        <v>6.5655163636363634</v>
      </c>
      <c r="I19" s="209">
        <f>ROUND((G19+H19),2)</f>
        <v>25.32</v>
      </c>
    </row>
    <row r="20" spans="1:9" ht="30" customHeight="1" thickBot="1" x14ac:dyDescent="0.3">
      <c r="A20" s="1322" t="s">
        <v>323</v>
      </c>
      <c r="B20" s="1192"/>
      <c r="C20" s="1192"/>
      <c r="D20" s="1192"/>
      <c r="E20" s="1192"/>
      <c r="F20" s="1192"/>
      <c r="G20" s="1192"/>
      <c r="H20" s="1192"/>
      <c r="I20" s="1192"/>
    </row>
    <row r="21" spans="1:9" ht="51.75" thickTop="1" x14ac:dyDescent="0.25">
      <c r="A21" s="1323" t="s">
        <v>8</v>
      </c>
      <c r="B21" s="1324" t="s">
        <v>317</v>
      </c>
      <c r="C21" s="1325" t="s">
        <v>363</v>
      </c>
      <c r="D21" s="1326" t="s">
        <v>324</v>
      </c>
      <c r="E21" s="199" t="s">
        <v>320</v>
      </c>
      <c r="F21" s="199" t="s">
        <v>321</v>
      </c>
      <c r="G21" s="1327" t="s">
        <v>10</v>
      </c>
      <c r="H21" s="199" t="s">
        <v>108</v>
      </c>
      <c r="I21" s="1325" t="s">
        <v>325</v>
      </c>
    </row>
    <row r="22" spans="1:9" x14ac:dyDescent="0.25">
      <c r="A22" s="1314"/>
      <c r="B22" s="1314"/>
      <c r="C22" s="1317"/>
      <c r="D22" s="1302"/>
      <c r="E22" s="206">
        <v>0.2</v>
      </c>
      <c r="F22" s="206">
        <f>E71/100</f>
        <v>0.39799999999999996</v>
      </c>
      <c r="G22" s="1302"/>
      <c r="H22" s="206">
        <f>H16</f>
        <v>0.35</v>
      </c>
      <c r="I22" s="1302"/>
    </row>
    <row r="23" spans="1:9" x14ac:dyDescent="0.25">
      <c r="A23" s="201">
        <f t="shared" ref="A23:B25" si="1">A11</f>
        <v>1</v>
      </c>
      <c r="B23" s="202" t="str">
        <f t="shared" si="1"/>
        <v>Auxiliar de limpeza - Demais Fóruns Eleitorais</v>
      </c>
      <c r="C23" s="207">
        <f t="shared" ref="C23:C25" si="2">C17</f>
        <v>745.44999999999993</v>
      </c>
      <c r="D23" s="208">
        <f>(C23/(D11))*2</f>
        <v>14.908999999999999</v>
      </c>
      <c r="E23" s="208">
        <f>D23*$E$22</f>
        <v>2.9817999999999998</v>
      </c>
      <c r="F23" s="208">
        <f>(D23+E23)*$F$22</f>
        <v>7.1205383999999992</v>
      </c>
      <c r="G23" s="208">
        <f>D23+E23+F23</f>
        <v>25.0113384</v>
      </c>
      <c r="H23" s="208">
        <f>G23*$H$22</f>
        <v>8.7539684399999995</v>
      </c>
      <c r="I23" s="209">
        <f>ROUND((G23+H23),2)</f>
        <v>33.770000000000003</v>
      </c>
    </row>
    <row r="24" spans="1:9" x14ac:dyDescent="0.25">
      <c r="A24" s="204">
        <f t="shared" si="1"/>
        <v>2</v>
      </c>
      <c r="B24" s="205" t="str">
        <f t="shared" si="1"/>
        <v>Auxiliar de limpeza - Fórum Eleitoral de PARANAVAÍ</v>
      </c>
      <c r="C24" s="210">
        <f t="shared" si="2"/>
        <v>1304.55</v>
      </c>
      <c r="D24" s="211">
        <f>(C24/(D12))*2</f>
        <v>14.909142857142857</v>
      </c>
      <c r="E24" s="211">
        <f>D24*$E$22</f>
        <v>2.9818285714285717</v>
      </c>
      <c r="F24" s="211">
        <f>(D24+E24)*$F$22</f>
        <v>7.1206066285714282</v>
      </c>
      <c r="G24" s="211">
        <f>D24+E24+F24</f>
        <v>25.011578057142856</v>
      </c>
      <c r="H24" s="211">
        <f>G24*$H$22</f>
        <v>8.7540523199999996</v>
      </c>
      <c r="I24" s="212">
        <f>ROUND((G24+H24),2)</f>
        <v>33.770000000000003</v>
      </c>
    </row>
    <row r="25" spans="1:9" x14ac:dyDescent="0.25">
      <c r="A25" s="201">
        <f t="shared" si="1"/>
        <v>3</v>
      </c>
      <c r="B25" s="202" t="str">
        <f t="shared" si="1"/>
        <v>Auxiliar de limpeza - Fórum Eleitoral de MARINGÁ</v>
      </c>
      <c r="C25" s="207">
        <f t="shared" si="2"/>
        <v>1640</v>
      </c>
      <c r="D25" s="208">
        <f>(C25/(D13))*2</f>
        <v>14.909090909090908</v>
      </c>
      <c r="E25" s="208">
        <f>D25*$E$22</f>
        <v>2.9818181818181819</v>
      </c>
      <c r="F25" s="208">
        <f>(D25+E25)*$F$22</f>
        <v>7.120581818181817</v>
      </c>
      <c r="G25" s="208">
        <f>D25+E25+F25</f>
        <v>25.011490909090909</v>
      </c>
      <c r="H25" s="208">
        <f>G25*$H$22</f>
        <v>8.7540218181818172</v>
      </c>
      <c r="I25" s="209">
        <f>ROUND((G25+H25),2)</f>
        <v>33.770000000000003</v>
      </c>
    </row>
    <row r="26" spans="1:9" ht="30" customHeight="1" thickBot="1" x14ac:dyDescent="0.3">
      <c r="A26" s="1311" t="s">
        <v>326</v>
      </c>
      <c r="B26" s="1312"/>
      <c r="C26" s="1312"/>
      <c r="D26" s="1312"/>
      <c r="E26" s="1312"/>
      <c r="F26" s="1312"/>
      <c r="G26" s="1312"/>
      <c r="H26" s="1312"/>
      <c r="I26" s="1312"/>
    </row>
    <row r="27" spans="1:9" ht="51.75" thickTop="1" x14ac:dyDescent="0.25">
      <c r="A27" s="1313" t="s">
        <v>8</v>
      </c>
      <c r="B27" s="1315" t="s">
        <v>317</v>
      </c>
      <c r="C27" s="1316" t="s">
        <v>363</v>
      </c>
      <c r="D27" s="1318" t="s">
        <v>327</v>
      </c>
      <c r="E27" s="213" t="s">
        <v>320</v>
      </c>
      <c r="F27" s="213" t="s">
        <v>321</v>
      </c>
      <c r="G27" s="1319" t="s">
        <v>10</v>
      </c>
      <c r="H27" s="213" t="s">
        <v>108</v>
      </c>
      <c r="I27" s="1316" t="s">
        <v>328</v>
      </c>
    </row>
    <row r="28" spans="1:9" x14ac:dyDescent="0.25">
      <c r="A28" s="1314"/>
      <c r="B28" s="1314"/>
      <c r="C28" s="1317"/>
      <c r="D28" s="1302"/>
      <c r="E28" s="206">
        <v>0.2</v>
      </c>
      <c r="F28" s="206">
        <f>E71/100</f>
        <v>0.39799999999999996</v>
      </c>
      <c r="G28" s="1302"/>
      <c r="H28" s="206">
        <f>H16</f>
        <v>0.35</v>
      </c>
      <c r="I28" s="1302"/>
    </row>
    <row r="29" spans="1:9" x14ac:dyDescent="0.25">
      <c r="A29" s="201">
        <f t="shared" ref="A29:B31" si="3">A11</f>
        <v>1</v>
      </c>
      <c r="B29" s="202" t="str">
        <f t="shared" si="3"/>
        <v>Auxiliar de limpeza - Demais Fóruns Eleitorais</v>
      </c>
      <c r="C29" s="207">
        <f t="shared" ref="C29:C31" si="4">C17</f>
        <v>745.44999999999993</v>
      </c>
      <c r="D29" s="208">
        <f>(((C29/(D11))*1.1428571)*1.2)*1.5</f>
        <v>15.334970853509999</v>
      </c>
      <c r="E29" s="208">
        <f>D29*$E$28</f>
        <v>3.0669941707019999</v>
      </c>
      <c r="F29" s="208">
        <f>(D29+E29)*$F$28</f>
        <v>7.3239820796363757</v>
      </c>
      <c r="G29" s="208">
        <f>D29+E29+F29</f>
        <v>25.725947103848377</v>
      </c>
      <c r="H29" s="208">
        <f>G29*$H$28</f>
        <v>9.0040814863469318</v>
      </c>
      <c r="I29" s="209">
        <f>ROUND((G29+H29),2)</f>
        <v>34.729999999999997</v>
      </c>
    </row>
    <row r="30" spans="1:9" x14ac:dyDescent="0.25">
      <c r="A30" s="204">
        <f t="shared" si="3"/>
        <v>2</v>
      </c>
      <c r="B30" s="205" t="str">
        <f t="shared" si="3"/>
        <v>Auxiliar de limpeza - Fórum Eleitoral de PARANAVAÍ</v>
      </c>
      <c r="C30" s="210">
        <f t="shared" si="4"/>
        <v>1304.55</v>
      </c>
      <c r="D30" s="211">
        <f>(((C30/(D12))*1.1428571)*1.2)*1.5</f>
        <v>15.335117792280002</v>
      </c>
      <c r="E30" s="211">
        <f>D30*$E$28</f>
        <v>3.0670235584560004</v>
      </c>
      <c r="F30" s="211">
        <f>(D30+E30)*$F$28</f>
        <v>7.3240522575929283</v>
      </c>
      <c r="G30" s="211">
        <f>D30+E30+F30</f>
        <v>25.726193608328931</v>
      </c>
      <c r="H30" s="211">
        <f>G30*$H$28</f>
        <v>9.0041677629151256</v>
      </c>
      <c r="I30" s="212">
        <f>ROUND((G30+H30),2)</f>
        <v>34.729999999999997</v>
      </c>
    </row>
    <row r="31" spans="1:9" x14ac:dyDescent="0.25">
      <c r="A31" s="201">
        <f t="shared" si="3"/>
        <v>3</v>
      </c>
      <c r="B31" s="202" t="str">
        <f t="shared" si="3"/>
        <v>Auxiliar de limpeza - Fórum Eleitoral de MARINGÁ</v>
      </c>
      <c r="C31" s="207">
        <f t="shared" si="4"/>
        <v>1640</v>
      </c>
      <c r="D31" s="208">
        <f>(((C31/(D13))*1.1428571)*1.2)*1.5</f>
        <v>15.335064360000001</v>
      </c>
      <c r="E31" s="208">
        <f>D31*$E$28</f>
        <v>3.0670128720000003</v>
      </c>
      <c r="F31" s="208">
        <f>(D31+E31)*$F$28</f>
        <v>7.3240267383359994</v>
      </c>
      <c r="G31" s="208">
        <f>D31+E31+F31</f>
        <v>25.726103970335998</v>
      </c>
      <c r="H31" s="208">
        <f>G31*$H$28</f>
        <v>9.0041363896175994</v>
      </c>
      <c r="I31" s="209">
        <f>ROUND((G31+H31),2)</f>
        <v>34.729999999999997</v>
      </c>
    </row>
    <row r="32" spans="1:9" ht="30" customHeight="1" thickBot="1" x14ac:dyDescent="0.3">
      <c r="A32" s="1311" t="s">
        <v>329</v>
      </c>
      <c r="B32" s="1312"/>
      <c r="C32" s="1312"/>
      <c r="D32" s="1312"/>
      <c r="E32" s="1312"/>
      <c r="F32" s="1312"/>
      <c r="G32" s="1312"/>
      <c r="H32" s="1312"/>
      <c r="I32" s="1312"/>
    </row>
    <row r="33" spans="1:1025" ht="51.75" thickTop="1" x14ac:dyDescent="0.25">
      <c r="A33" s="1313" t="s">
        <v>8</v>
      </c>
      <c r="B33" s="1315" t="s">
        <v>317</v>
      </c>
      <c r="C33" s="1316" t="s">
        <v>363</v>
      </c>
      <c r="D33" s="1318" t="s">
        <v>330</v>
      </c>
      <c r="E33" s="213" t="s">
        <v>320</v>
      </c>
      <c r="F33" s="213" t="s">
        <v>321</v>
      </c>
      <c r="G33" s="1319" t="s">
        <v>10</v>
      </c>
      <c r="H33" s="213" t="s">
        <v>108</v>
      </c>
      <c r="I33" s="1316" t="s">
        <v>331</v>
      </c>
    </row>
    <row r="34" spans="1:1025" x14ac:dyDescent="0.25">
      <c r="A34" s="1314"/>
      <c r="B34" s="1314"/>
      <c r="C34" s="1317"/>
      <c r="D34" s="1302"/>
      <c r="E34" s="206">
        <v>0.2</v>
      </c>
      <c r="F34" s="206">
        <f>E71/100</f>
        <v>0.39799999999999996</v>
      </c>
      <c r="G34" s="1302"/>
      <c r="H34" s="206">
        <f>H16</f>
        <v>0.35</v>
      </c>
      <c r="I34" s="1302"/>
    </row>
    <row r="35" spans="1:1025" x14ac:dyDescent="0.25">
      <c r="A35" s="201">
        <v>1</v>
      </c>
      <c r="B35" s="202" t="str">
        <f>B11</f>
        <v>Auxiliar de limpeza - Demais Fóruns Eleitorais</v>
      </c>
      <c r="C35" s="207">
        <f t="shared" ref="C35:C37" si="5">C17</f>
        <v>745.44999999999993</v>
      </c>
      <c r="D35" s="208">
        <f>(((C29/(D11))*1.1428571)*1.2)*2</f>
        <v>20.446627804679999</v>
      </c>
      <c r="E35" s="208">
        <f>D35*$E$34</f>
        <v>4.0893255609359995</v>
      </c>
      <c r="F35" s="208">
        <f>(D35+E35)*$F$34</f>
        <v>9.7653094395151658</v>
      </c>
      <c r="G35" s="208">
        <f>D35+E35+F35</f>
        <v>34.301262805131167</v>
      </c>
      <c r="H35" s="208">
        <f>G35*$H$34</f>
        <v>12.005441981795908</v>
      </c>
      <c r="I35" s="209">
        <f>ROUND((G35+H35),2)</f>
        <v>46.31</v>
      </c>
    </row>
    <row r="36" spans="1:1025" x14ac:dyDescent="0.25">
      <c r="A36" s="204">
        <v>2</v>
      </c>
      <c r="B36" s="205" t="str">
        <f>B12</f>
        <v>Auxiliar de limpeza - Fórum Eleitoral de PARANAVAÍ</v>
      </c>
      <c r="C36" s="210">
        <f t="shared" si="5"/>
        <v>1304.55</v>
      </c>
      <c r="D36" s="211">
        <f>(((C30/(D12))*1.1428571)*1.2)*2</f>
        <v>20.446823723040001</v>
      </c>
      <c r="E36" s="211">
        <f>D36*$E$34</f>
        <v>4.0893647446080008</v>
      </c>
      <c r="F36" s="211">
        <f>(D36+E36)*$F$34</f>
        <v>9.7654030101239044</v>
      </c>
      <c r="G36" s="211">
        <f>D36+E36+F36</f>
        <v>34.301591477771908</v>
      </c>
      <c r="H36" s="211">
        <f>G36*$H$34</f>
        <v>12.005557017220166</v>
      </c>
      <c r="I36" s="212">
        <f>ROUND((G36+H36),2)</f>
        <v>46.31</v>
      </c>
    </row>
    <row r="37" spans="1:1025" x14ac:dyDescent="0.25">
      <c r="A37" s="201">
        <v>3</v>
      </c>
      <c r="B37" s="202" t="str">
        <f>B13</f>
        <v>Auxiliar de limpeza - Fórum Eleitoral de MARINGÁ</v>
      </c>
      <c r="C37" s="207">
        <f t="shared" si="5"/>
        <v>1640</v>
      </c>
      <c r="D37" s="208">
        <f>(((C31/(D13))*1.1428571)*1.2)*2</f>
        <v>20.446752480000001</v>
      </c>
      <c r="E37" s="208">
        <f>D37*$E$34</f>
        <v>4.0893504960000007</v>
      </c>
      <c r="F37" s="208">
        <f>(D37+E37)*$F$34</f>
        <v>9.7653689844479992</v>
      </c>
      <c r="G37" s="208">
        <f>D37+E37+F37</f>
        <v>34.301471960447998</v>
      </c>
      <c r="H37" s="208">
        <f>G37*$H$34</f>
        <v>12.005515186156799</v>
      </c>
      <c r="I37" s="209">
        <f>ROUND((G37+H37),2)</f>
        <v>46.31</v>
      </c>
    </row>
    <row r="38" spans="1:1025" ht="30" customHeight="1" thickBot="1" x14ac:dyDescent="0.3">
      <c r="A38" s="1295" t="s">
        <v>332</v>
      </c>
      <c r="B38" s="1309"/>
      <c r="C38" s="1309"/>
      <c r="D38" s="1309"/>
      <c r="E38" s="1309"/>
      <c r="F38" s="1309"/>
      <c r="G38" s="1309"/>
      <c r="H38" s="1309"/>
      <c r="I38" s="1309"/>
    </row>
    <row r="39" spans="1:1025" s="517" customFormat="1" ht="24.95" customHeight="1" thickTop="1" x14ac:dyDescent="0.2">
      <c r="A39" s="1320" t="s">
        <v>395</v>
      </c>
      <c r="B39" s="1320"/>
      <c r="C39" s="1320"/>
      <c r="D39" s="1320"/>
      <c r="E39" s="1320"/>
      <c r="F39" s="514"/>
      <c r="G39" s="1321"/>
      <c r="H39" s="1321"/>
      <c r="I39" s="1321"/>
      <c r="J39" s="1271"/>
      <c r="K39" s="1271"/>
      <c r="L39" s="1271"/>
      <c r="M39" s="1271"/>
      <c r="N39" s="1271"/>
      <c r="O39" s="1271"/>
      <c r="P39" s="1271"/>
      <c r="Q39" s="1271"/>
      <c r="R39" s="515"/>
      <c r="S39" s="516"/>
      <c r="T39" s="516"/>
      <c r="U39" s="516"/>
      <c r="V39" s="516"/>
      <c r="W39" s="516"/>
      <c r="X39" s="516"/>
    </row>
    <row r="40" spans="1:1025" s="522" customFormat="1" ht="9.9499999999999993" customHeight="1" x14ac:dyDescent="0.2">
      <c r="A40" s="1288" t="str">
        <f>A10</f>
        <v>ITEM</v>
      </c>
      <c r="B40" s="1288" t="str">
        <f>B10</f>
        <v>POSTO DE TRABALHO</v>
      </c>
      <c r="C40" s="1278" t="s">
        <v>396</v>
      </c>
      <c r="D40" s="1284" t="s">
        <v>397</v>
      </c>
      <c r="E40" s="1278" t="s">
        <v>398</v>
      </c>
      <c r="F40" s="518"/>
      <c r="G40" s="519"/>
      <c r="H40" s="519"/>
      <c r="I40" s="519"/>
      <c r="J40" s="520"/>
      <c r="K40" s="520"/>
      <c r="L40" s="520"/>
      <c r="M40" s="520"/>
      <c r="N40" s="520"/>
      <c r="O40" s="520"/>
      <c r="P40" s="520"/>
      <c r="Q40" s="520"/>
      <c r="R40" s="521"/>
    </row>
    <row r="41" spans="1:1025" s="522" customFormat="1" ht="35.1" customHeight="1" x14ac:dyDescent="0.2">
      <c r="A41" s="1289"/>
      <c r="B41" s="1289"/>
      <c r="C41" s="1279"/>
      <c r="D41" s="1285"/>
      <c r="E41" s="1279"/>
      <c r="F41" s="518"/>
      <c r="G41" s="519"/>
      <c r="H41" s="519"/>
      <c r="I41" s="519"/>
      <c r="J41" s="520"/>
      <c r="K41" s="520"/>
      <c r="L41" s="520"/>
      <c r="M41" s="520"/>
      <c r="N41" s="520"/>
      <c r="O41" s="520"/>
      <c r="P41" s="520"/>
      <c r="Q41" s="520"/>
      <c r="R41" s="521"/>
    </row>
    <row r="42" spans="1:1025" s="522" customFormat="1" ht="12.6" customHeight="1" x14ac:dyDescent="0.2">
      <c r="A42" s="1289"/>
      <c r="B42" s="1289"/>
      <c r="C42" s="1279"/>
      <c r="D42" s="1286"/>
      <c r="E42" s="1279"/>
      <c r="F42" s="518"/>
      <c r="G42" s="519"/>
      <c r="H42" s="519"/>
      <c r="I42" s="519"/>
      <c r="J42" s="520"/>
      <c r="K42" s="520"/>
      <c r="L42" s="520"/>
      <c r="M42" s="520"/>
      <c r="N42" s="520"/>
      <c r="O42" s="520"/>
      <c r="P42" s="520"/>
      <c r="Q42" s="520"/>
      <c r="R42" s="521"/>
    </row>
    <row r="43" spans="1:1025" s="522" customFormat="1" ht="12.6" customHeight="1" x14ac:dyDescent="0.2">
      <c r="A43" s="1289"/>
      <c r="B43" s="1289"/>
      <c r="C43" s="1280"/>
      <c r="D43" s="523">
        <f>H16</f>
        <v>0.35</v>
      </c>
      <c r="E43" s="1280"/>
      <c r="F43" s="518"/>
      <c r="G43" s="519"/>
      <c r="H43" s="519"/>
      <c r="I43" s="519"/>
      <c r="J43" s="520"/>
      <c r="K43" s="520"/>
      <c r="L43" s="520"/>
      <c r="M43" s="520"/>
      <c r="N43" s="520"/>
      <c r="O43" s="520"/>
      <c r="P43" s="520"/>
      <c r="Q43" s="520"/>
      <c r="R43" s="521"/>
    </row>
    <row r="44" spans="1:1025" ht="15.95" customHeight="1" x14ac:dyDescent="0.25">
      <c r="A44" s="524">
        <f t="shared" ref="A44:B46" si="6">A11</f>
        <v>1</v>
      </c>
      <c r="B44" s="525" t="str">
        <f t="shared" si="6"/>
        <v>Auxiliar de limpeza - Demais Fóruns Eleitorais</v>
      </c>
      <c r="C44" s="526">
        <f>'POSTOS e RESUMO'!H20/21</f>
        <v>21.009523809523809</v>
      </c>
      <c r="D44" s="527">
        <f>C44*$D$43</f>
        <v>7.3533333333333326</v>
      </c>
      <c r="E44" s="528">
        <f>ROUND(C44+D44,2)</f>
        <v>28.36</v>
      </c>
      <c r="F44" s="1310"/>
      <c r="G44" s="529"/>
      <c r="H44" s="529"/>
      <c r="I44" s="529"/>
      <c r="J44" s="530"/>
      <c r="K44" s="530"/>
      <c r="L44" s="530"/>
      <c r="M44" s="530"/>
      <c r="N44" s="530"/>
      <c r="O44" s="530"/>
      <c r="P44" s="530"/>
      <c r="Q44" s="530"/>
      <c r="R44" s="512"/>
      <c r="S44" s="513"/>
      <c r="T44" s="513"/>
      <c r="U44" s="513"/>
      <c r="V44" s="513"/>
      <c r="W44" s="513"/>
      <c r="X44" s="513"/>
      <c r="Y44" s="513"/>
      <c r="Z44" s="513"/>
      <c r="AA44" s="513"/>
      <c r="AB44" s="513"/>
      <c r="AC44" s="513"/>
      <c r="AD44" s="513"/>
      <c r="AE44" s="513"/>
      <c r="AF44" s="513"/>
      <c r="AG44" s="513"/>
      <c r="AH44" s="513"/>
      <c r="AI44" s="513"/>
      <c r="AJ44" s="513"/>
      <c r="AK44" s="513"/>
      <c r="AL44" s="513"/>
      <c r="AM44" s="513"/>
      <c r="AN44" s="513"/>
      <c r="AO44" s="513"/>
      <c r="AP44" s="513"/>
      <c r="AQ44" s="513"/>
      <c r="AR44" s="513"/>
      <c r="AS44" s="513"/>
      <c r="AT44" s="513"/>
      <c r="AU44" s="513"/>
      <c r="AV44" s="513"/>
      <c r="AW44" s="513"/>
      <c r="AX44" s="513"/>
      <c r="AY44" s="513"/>
      <c r="AZ44" s="513"/>
      <c r="BA44" s="513"/>
      <c r="BB44" s="513"/>
      <c r="BC44" s="513"/>
      <c r="BD44" s="513"/>
      <c r="BE44" s="513"/>
      <c r="BF44" s="513"/>
      <c r="BG44" s="513"/>
      <c r="BH44" s="513"/>
      <c r="BI44" s="513"/>
      <c r="BJ44" s="513"/>
      <c r="BK44" s="513"/>
      <c r="BL44" s="513"/>
      <c r="BM44" s="513"/>
      <c r="BN44" s="513"/>
      <c r="BO44" s="513"/>
      <c r="BP44" s="513"/>
      <c r="BQ44" s="513"/>
      <c r="BR44" s="513"/>
      <c r="BS44" s="513"/>
      <c r="BT44" s="513"/>
      <c r="BU44" s="513"/>
      <c r="BV44" s="513"/>
      <c r="BW44" s="513"/>
      <c r="BX44" s="513"/>
      <c r="BY44" s="513"/>
      <c r="BZ44" s="513"/>
      <c r="CA44" s="513"/>
      <c r="CB44" s="513"/>
      <c r="CC44" s="513"/>
      <c r="CD44" s="513"/>
      <c r="CE44" s="513"/>
      <c r="CF44" s="513"/>
      <c r="CG44" s="513"/>
      <c r="CH44" s="513"/>
      <c r="CI44" s="513"/>
      <c r="CJ44" s="513"/>
      <c r="CK44" s="513"/>
      <c r="CL44" s="513"/>
      <c r="CM44" s="513"/>
      <c r="CN44" s="513"/>
      <c r="CO44" s="513"/>
      <c r="CP44" s="513"/>
      <c r="CQ44" s="513"/>
      <c r="CR44" s="513"/>
      <c r="CS44" s="513"/>
      <c r="CT44" s="513"/>
      <c r="CU44" s="513"/>
      <c r="CV44" s="513"/>
      <c r="CW44" s="513"/>
      <c r="CX44" s="513"/>
      <c r="CY44" s="513"/>
      <c r="CZ44" s="513"/>
      <c r="DA44" s="513"/>
      <c r="DB44" s="513"/>
      <c r="DC44" s="513"/>
      <c r="DD44" s="513"/>
      <c r="DE44" s="513"/>
      <c r="DF44" s="513"/>
      <c r="DG44" s="513"/>
      <c r="DH44" s="513"/>
      <c r="DI44" s="513"/>
      <c r="DJ44" s="513"/>
      <c r="DK44" s="513"/>
      <c r="DL44" s="513"/>
      <c r="DM44" s="513"/>
      <c r="DN44" s="513"/>
      <c r="DO44" s="513"/>
      <c r="DP44" s="513"/>
      <c r="DQ44" s="513"/>
      <c r="DR44" s="513"/>
      <c r="DS44" s="513"/>
      <c r="DT44" s="513"/>
      <c r="DU44" s="513"/>
      <c r="DV44" s="513"/>
      <c r="DW44" s="513"/>
      <c r="DX44" s="513"/>
      <c r="DY44" s="513"/>
      <c r="DZ44" s="513"/>
      <c r="EA44" s="513"/>
      <c r="EB44" s="513"/>
      <c r="EC44" s="513"/>
      <c r="ED44" s="513"/>
      <c r="EE44" s="513"/>
      <c r="EF44" s="513"/>
      <c r="EG44" s="513"/>
      <c r="EH44" s="513"/>
      <c r="EI44" s="513"/>
      <c r="EJ44" s="513"/>
      <c r="EK44" s="513"/>
      <c r="EL44" s="513"/>
      <c r="EM44" s="513"/>
      <c r="EN44" s="513"/>
      <c r="EO44" s="513"/>
      <c r="EP44" s="513"/>
      <c r="EQ44" s="513"/>
      <c r="ER44" s="513"/>
      <c r="ES44" s="513"/>
      <c r="ET44" s="513"/>
      <c r="EU44" s="513"/>
      <c r="EV44" s="513"/>
      <c r="EW44" s="513"/>
      <c r="EX44" s="513"/>
      <c r="EY44" s="513"/>
      <c r="EZ44" s="513"/>
      <c r="FA44" s="513"/>
      <c r="FB44" s="513"/>
      <c r="FC44" s="513"/>
      <c r="FD44" s="513"/>
      <c r="FE44" s="513"/>
      <c r="FF44" s="513"/>
      <c r="FG44" s="513"/>
      <c r="FH44" s="513"/>
      <c r="FI44" s="513"/>
      <c r="FJ44" s="513"/>
      <c r="FK44" s="513"/>
      <c r="FL44" s="513"/>
      <c r="FM44" s="513"/>
      <c r="FN44" s="513"/>
      <c r="FO44" s="513"/>
      <c r="FP44" s="513"/>
      <c r="FQ44" s="513"/>
      <c r="FR44" s="513"/>
      <c r="FS44" s="513"/>
      <c r="FT44" s="513"/>
      <c r="FU44" s="513"/>
      <c r="FV44" s="513"/>
      <c r="FW44" s="513"/>
      <c r="FX44" s="513"/>
      <c r="FY44" s="513"/>
      <c r="FZ44" s="513"/>
      <c r="GA44" s="513"/>
      <c r="GB44" s="513"/>
      <c r="GC44" s="513"/>
      <c r="GD44" s="513"/>
      <c r="GE44" s="513"/>
      <c r="GF44" s="513"/>
      <c r="GG44" s="513"/>
      <c r="GH44" s="513"/>
      <c r="GI44" s="513"/>
      <c r="GJ44" s="513"/>
      <c r="GK44" s="513"/>
      <c r="GL44" s="513"/>
      <c r="GM44" s="513"/>
      <c r="GN44" s="513"/>
      <c r="GO44" s="513"/>
      <c r="GP44" s="513"/>
      <c r="GQ44" s="513"/>
      <c r="GR44" s="513"/>
      <c r="GS44" s="513"/>
      <c r="GT44" s="513"/>
      <c r="GU44" s="513"/>
      <c r="GV44" s="513"/>
      <c r="GW44" s="513"/>
      <c r="GX44" s="513"/>
      <c r="GY44" s="513"/>
      <c r="GZ44" s="513"/>
      <c r="HA44" s="513"/>
      <c r="HB44" s="513"/>
      <c r="HC44" s="513"/>
      <c r="HD44" s="513"/>
      <c r="HE44" s="513"/>
      <c r="HF44" s="513"/>
      <c r="HG44" s="513"/>
      <c r="HH44" s="513"/>
      <c r="HI44" s="513"/>
      <c r="HJ44" s="513"/>
      <c r="HK44" s="513"/>
      <c r="HL44" s="513"/>
      <c r="HM44" s="513"/>
      <c r="HN44" s="513"/>
      <c r="HO44" s="513"/>
      <c r="HP44" s="513"/>
      <c r="HQ44" s="513"/>
      <c r="HR44" s="513"/>
      <c r="HS44" s="513"/>
      <c r="HT44" s="513"/>
      <c r="HU44" s="513"/>
      <c r="HV44" s="513"/>
      <c r="HW44" s="513"/>
      <c r="HX44" s="513"/>
      <c r="HY44" s="513"/>
      <c r="HZ44" s="513"/>
      <c r="IA44" s="513"/>
      <c r="IB44" s="513"/>
      <c r="IC44" s="513"/>
      <c r="ID44" s="513"/>
      <c r="IE44" s="513"/>
      <c r="IF44" s="513"/>
      <c r="IG44" s="513"/>
      <c r="IH44" s="513"/>
      <c r="II44" s="513"/>
      <c r="IJ44" s="513"/>
      <c r="IK44" s="513"/>
      <c r="IL44" s="513"/>
      <c r="IM44" s="513"/>
      <c r="IN44" s="513"/>
      <c r="IO44" s="513"/>
      <c r="IP44" s="513"/>
      <c r="IQ44" s="513"/>
      <c r="IR44" s="513"/>
      <c r="IS44" s="513"/>
      <c r="IT44" s="513"/>
      <c r="IU44" s="513"/>
      <c r="IV44" s="513"/>
      <c r="IW44" s="513"/>
      <c r="IX44" s="513"/>
      <c r="IY44" s="513"/>
      <c r="IZ44" s="513"/>
      <c r="JA44" s="513"/>
      <c r="JB44" s="513"/>
      <c r="JC44" s="513"/>
      <c r="JD44" s="513"/>
      <c r="JE44" s="513"/>
      <c r="JF44" s="513"/>
      <c r="JG44" s="513"/>
      <c r="JH44" s="513"/>
      <c r="JI44" s="513"/>
      <c r="JJ44" s="513"/>
      <c r="JK44" s="513"/>
      <c r="JL44" s="513"/>
      <c r="JM44" s="513"/>
      <c r="JN44" s="513"/>
      <c r="JO44" s="513"/>
      <c r="JP44" s="513"/>
      <c r="JQ44" s="513"/>
      <c r="JR44" s="513"/>
      <c r="JS44" s="513"/>
      <c r="JT44" s="513"/>
      <c r="JU44" s="513"/>
      <c r="JV44" s="513"/>
      <c r="JW44" s="513"/>
      <c r="JX44" s="513"/>
      <c r="JY44" s="513"/>
      <c r="JZ44" s="513"/>
      <c r="KA44" s="513"/>
      <c r="KB44" s="513"/>
      <c r="KC44" s="513"/>
      <c r="KD44" s="513"/>
      <c r="KE44" s="513"/>
      <c r="KF44" s="513"/>
      <c r="KG44" s="513"/>
      <c r="KH44" s="513"/>
      <c r="KI44" s="513"/>
      <c r="KJ44" s="513"/>
      <c r="KK44" s="513"/>
      <c r="KL44" s="513"/>
      <c r="KM44" s="513"/>
      <c r="KN44" s="513"/>
      <c r="KO44" s="513"/>
      <c r="KP44" s="513"/>
      <c r="KQ44" s="513"/>
      <c r="KR44" s="513"/>
      <c r="KS44" s="513"/>
      <c r="KT44" s="513"/>
      <c r="KU44" s="513"/>
      <c r="KV44" s="513"/>
      <c r="KW44" s="513"/>
      <c r="KX44" s="513"/>
      <c r="KY44" s="513"/>
      <c r="KZ44" s="513"/>
      <c r="LA44" s="513"/>
      <c r="LB44" s="513"/>
      <c r="LC44" s="513"/>
      <c r="LD44" s="513"/>
      <c r="LE44" s="513"/>
      <c r="LF44" s="513"/>
      <c r="LG44" s="513"/>
      <c r="LH44" s="513"/>
      <c r="LI44" s="513"/>
      <c r="LJ44" s="513"/>
      <c r="LK44" s="513"/>
      <c r="LL44" s="513"/>
      <c r="LM44" s="513"/>
      <c r="LN44" s="513"/>
      <c r="LO44" s="513"/>
      <c r="LP44" s="513"/>
      <c r="LQ44" s="513"/>
      <c r="LR44" s="513"/>
      <c r="LS44" s="513"/>
      <c r="LT44" s="513"/>
      <c r="LU44" s="513"/>
      <c r="LV44" s="513"/>
      <c r="LW44" s="513"/>
      <c r="LX44" s="513"/>
      <c r="LY44" s="513"/>
      <c r="LZ44" s="513"/>
      <c r="MA44" s="513"/>
      <c r="MB44" s="513"/>
      <c r="MC44" s="513"/>
      <c r="MD44" s="513"/>
      <c r="ME44" s="513"/>
      <c r="MF44" s="513"/>
      <c r="MG44" s="513"/>
      <c r="MH44" s="513"/>
      <c r="MI44" s="513"/>
      <c r="MJ44" s="513"/>
      <c r="MK44" s="513"/>
      <c r="ML44" s="513"/>
      <c r="MM44" s="513"/>
      <c r="MN44" s="513"/>
      <c r="MO44" s="513"/>
      <c r="MP44" s="513"/>
      <c r="MQ44" s="513"/>
      <c r="MR44" s="513"/>
      <c r="MS44" s="513"/>
      <c r="MT44" s="513"/>
      <c r="MU44" s="513"/>
      <c r="MV44" s="513"/>
      <c r="MW44" s="513"/>
      <c r="MX44" s="513"/>
      <c r="MY44" s="513"/>
      <c r="MZ44" s="513"/>
      <c r="NA44" s="513"/>
      <c r="NB44" s="513"/>
      <c r="NC44" s="513"/>
      <c r="ND44" s="513"/>
      <c r="NE44" s="513"/>
      <c r="NF44" s="513"/>
      <c r="NG44" s="513"/>
      <c r="NH44" s="513"/>
      <c r="NI44" s="513"/>
      <c r="NJ44" s="513"/>
      <c r="NK44" s="513"/>
      <c r="NL44" s="513"/>
      <c r="NM44" s="513"/>
      <c r="NN44" s="513"/>
      <c r="NO44" s="513"/>
      <c r="NP44" s="513"/>
      <c r="NQ44" s="513"/>
      <c r="NR44" s="513"/>
      <c r="NS44" s="513"/>
      <c r="NT44" s="513"/>
      <c r="NU44" s="513"/>
      <c r="NV44" s="513"/>
      <c r="NW44" s="513"/>
      <c r="NX44" s="513"/>
      <c r="NY44" s="513"/>
      <c r="NZ44" s="513"/>
      <c r="OA44" s="513"/>
      <c r="OB44" s="513"/>
      <c r="OC44" s="513"/>
      <c r="OD44" s="513"/>
      <c r="OE44" s="513"/>
      <c r="OF44" s="513"/>
      <c r="OG44" s="513"/>
      <c r="OH44" s="513"/>
      <c r="OI44" s="513"/>
      <c r="OJ44" s="513"/>
      <c r="OK44" s="513"/>
      <c r="OL44" s="513"/>
      <c r="OM44" s="513"/>
      <c r="ON44" s="513"/>
      <c r="OO44" s="513"/>
      <c r="OP44" s="513"/>
      <c r="OQ44" s="513"/>
      <c r="OR44" s="513"/>
      <c r="OS44" s="513"/>
      <c r="OT44" s="513"/>
      <c r="OU44" s="513"/>
      <c r="OV44" s="513"/>
      <c r="OW44" s="513"/>
      <c r="OX44" s="513"/>
      <c r="OY44" s="513"/>
      <c r="OZ44" s="513"/>
      <c r="PA44" s="513"/>
      <c r="PB44" s="513"/>
      <c r="PC44" s="513"/>
      <c r="PD44" s="513"/>
      <c r="PE44" s="513"/>
      <c r="PF44" s="513"/>
      <c r="PG44" s="513"/>
      <c r="PH44" s="513"/>
      <c r="PI44" s="513"/>
      <c r="PJ44" s="513"/>
      <c r="PK44" s="513"/>
      <c r="PL44" s="513"/>
      <c r="PM44" s="513"/>
      <c r="PN44" s="513"/>
      <c r="PO44" s="513"/>
      <c r="PP44" s="513"/>
      <c r="PQ44" s="513"/>
      <c r="PR44" s="513"/>
      <c r="PS44" s="513"/>
      <c r="PT44" s="513"/>
      <c r="PU44" s="513"/>
      <c r="PV44" s="513"/>
      <c r="PW44" s="513"/>
      <c r="PX44" s="513"/>
      <c r="PY44" s="513"/>
      <c r="PZ44" s="513"/>
      <c r="QA44" s="513"/>
      <c r="QB44" s="513"/>
      <c r="QC44" s="513"/>
      <c r="QD44" s="513"/>
      <c r="QE44" s="513"/>
      <c r="QF44" s="513"/>
      <c r="QG44" s="513"/>
      <c r="QH44" s="513"/>
      <c r="QI44" s="513"/>
      <c r="QJ44" s="513"/>
      <c r="QK44" s="513"/>
      <c r="QL44" s="513"/>
      <c r="QM44" s="513"/>
      <c r="QN44" s="513"/>
      <c r="QO44" s="513"/>
      <c r="QP44" s="513"/>
      <c r="QQ44" s="513"/>
      <c r="QR44" s="513"/>
      <c r="QS44" s="513"/>
      <c r="QT44" s="513"/>
      <c r="QU44" s="513"/>
      <c r="QV44" s="513"/>
      <c r="QW44" s="513"/>
      <c r="QX44" s="513"/>
      <c r="QY44" s="513"/>
      <c r="QZ44" s="513"/>
      <c r="RA44" s="513"/>
      <c r="RB44" s="513"/>
      <c r="RC44" s="513"/>
      <c r="RD44" s="513"/>
      <c r="RE44" s="513"/>
      <c r="RF44" s="513"/>
      <c r="RG44" s="513"/>
      <c r="RH44" s="513"/>
      <c r="RI44" s="513"/>
      <c r="RJ44" s="513"/>
      <c r="RK44" s="513"/>
      <c r="RL44" s="513"/>
      <c r="RM44" s="513"/>
      <c r="RN44" s="513"/>
      <c r="RO44" s="513"/>
      <c r="RP44" s="513"/>
      <c r="RQ44" s="513"/>
      <c r="RR44" s="513"/>
      <c r="RS44" s="513"/>
      <c r="RT44" s="513"/>
      <c r="RU44" s="513"/>
      <c r="RV44" s="513"/>
      <c r="RW44" s="513"/>
      <c r="RX44" s="513"/>
      <c r="RY44" s="513"/>
      <c r="RZ44" s="513"/>
      <c r="SA44" s="513"/>
      <c r="SB44" s="513"/>
      <c r="SC44" s="513"/>
      <c r="SD44" s="513"/>
      <c r="SE44" s="513"/>
      <c r="SF44" s="513"/>
      <c r="SG44" s="513"/>
      <c r="SH44" s="513"/>
      <c r="SI44" s="513"/>
      <c r="SJ44" s="513"/>
      <c r="SK44" s="513"/>
      <c r="SL44" s="513"/>
      <c r="SM44" s="513"/>
      <c r="SN44" s="513"/>
      <c r="SO44" s="513"/>
      <c r="SP44" s="513"/>
      <c r="SQ44" s="513"/>
      <c r="SR44" s="513"/>
      <c r="SS44" s="513"/>
      <c r="ST44" s="513"/>
      <c r="SU44" s="513"/>
      <c r="SV44" s="513"/>
      <c r="SW44" s="513"/>
      <c r="SX44" s="513"/>
      <c r="SY44" s="513"/>
      <c r="SZ44" s="513"/>
      <c r="TA44" s="513"/>
      <c r="TB44" s="513"/>
      <c r="TC44" s="513"/>
      <c r="TD44" s="513"/>
      <c r="TE44" s="513"/>
      <c r="TF44" s="513"/>
      <c r="TG44" s="513"/>
      <c r="TH44" s="513"/>
      <c r="TI44" s="513"/>
      <c r="TJ44" s="513"/>
      <c r="TK44" s="513"/>
      <c r="TL44" s="513"/>
      <c r="TM44" s="513"/>
      <c r="TN44" s="513"/>
      <c r="TO44" s="513"/>
      <c r="TP44" s="513"/>
      <c r="TQ44" s="513"/>
      <c r="TR44" s="513"/>
      <c r="TS44" s="513"/>
      <c r="TT44" s="513"/>
      <c r="TU44" s="513"/>
      <c r="TV44" s="513"/>
      <c r="TW44" s="513"/>
      <c r="TX44" s="513"/>
      <c r="TY44" s="513"/>
      <c r="TZ44" s="513"/>
      <c r="UA44" s="513"/>
      <c r="UB44" s="513"/>
      <c r="UC44" s="513"/>
      <c r="UD44" s="513"/>
      <c r="UE44" s="513"/>
      <c r="UF44" s="513"/>
      <c r="UG44" s="513"/>
      <c r="UH44" s="513"/>
      <c r="UI44" s="513"/>
      <c r="UJ44" s="513"/>
      <c r="UK44" s="513"/>
      <c r="UL44" s="513"/>
      <c r="UM44" s="513"/>
      <c r="UN44" s="513"/>
      <c r="UO44" s="513"/>
      <c r="UP44" s="513"/>
      <c r="UQ44" s="513"/>
      <c r="UR44" s="513"/>
      <c r="US44" s="513"/>
      <c r="UT44" s="513"/>
      <c r="UU44" s="513"/>
      <c r="UV44" s="513"/>
      <c r="UW44" s="513"/>
      <c r="UX44" s="513"/>
      <c r="UY44" s="513"/>
      <c r="UZ44" s="513"/>
      <c r="VA44" s="513"/>
      <c r="VB44" s="513"/>
      <c r="VC44" s="513"/>
      <c r="VD44" s="513"/>
      <c r="VE44" s="513"/>
      <c r="VF44" s="513"/>
      <c r="VG44" s="513"/>
      <c r="VH44" s="513"/>
      <c r="VI44" s="513"/>
      <c r="VJ44" s="513"/>
      <c r="VK44" s="513"/>
      <c r="VL44" s="513"/>
      <c r="VM44" s="513"/>
      <c r="VN44" s="513"/>
      <c r="VO44" s="513"/>
      <c r="VP44" s="513"/>
      <c r="VQ44" s="513"/>
      <c r="VR44" s="513"/>
      <c r="VS44" s="513"/>
      <c r="VT44" s="513"/>
      <c r="VU44" s="513"/>
      <c r="VV44" s="513"/>
      <c r="VW44" s="513"/>
      <c r="VX44" s="513"/>
      <c r="VY44" s="513"/>
      <c r="VZ44" s="513"/>
      <c r="WA44" s="513"/>
      <c r="WB44" s="513"/>
      <c r="WC44" s="513"/>
      <c r="WD44" s="513"/>
      <c r="WE44" s="513"/>
      <c r="WF44" s="513"/>
      <c r="WG44" s="513"/>
      <c r="WH44" s="513"/>
      <c r="WI44" s="513"/>
      <c r="WJ44" s="513"/>
      <c r="WK44" s="513"/>
      <c r="WL44" s="513"/>
      <c r="WM44" s="513"/>
      <c r="WN44" s="513"/>
      <c r="WO44" s="513"/>
      <c r="WP44" s="513"/>
      <c r="WQ44" s="513"/>
      <c r="WR44" s="513"/>
      <c r="WS44" s="513"/>
      <c r="WT44" s="513"/>
      <c r="WU44" s="513"/>
      <c r="WV44" s="513"/>
      <c r="WW44" s="513"/>
      <c r="WX44" s="513"/>
      <c r="WY44" s="513"/>
      <c r="WZ44" s="513"/>
      <c r="XA44" s="513"/>
      <c r="XB44" s="513"/>
      <c r="XC44" s="513"/>
      <c r="XD44" s="513"/>
      <c r="XE44" s="513"/>
      <c r="XF44" s="513"/>
      <c r="XG44" s="513"/>
      <c r="XH44" s="513"/>
      <c r="XI44" s="513"/>
      <c r="XJ44" s="513"/>
      <c r="XK44" s="513"/>
      <c r="XL44" s="513"/>
      <c r="XM44" s="513"/>
      <c r="XN44" s="513"/>
      <c r="XO44" s="513"/>
      <c r="XP44" s="513"/>
      <c r="XQ44" s="513"/>
      <c r="XR44" s="513"/>
      <c r="XS44" s="513"/>
      <c r="XT44" s="513"/>
      <c r="XU44" s="513"/>
      <c r="XV44" s="513"/>
      <c r="XW44" s="513"/>
      <c r="XX44" s="513"/>
      <c r="XY44" s="513"/>
      <c r="XZ44" s="513"/>
      <c r="YA44" s="513"/>
      <c r="YB44" s="513"/>
      <c r="YC44" s="513"/>
      <c r="YD44" s="513"/>
      <c r="YE44" s="513"/>
      <c r="YF44" s="513"/>
      <c r="YG44" s="513"/>
      <c r="YH44" s="513"/>
      <c r="YI44" s="513"/>
      <c r="YJ44" s="513"/>
      <c r="YK44" s="513"/>
      <c r="YL44" s="513"/>
      <c r="YM44" s="513"/>
      <c r="YN44" s="513"/>
      <c r="YO44" s="513"/>
      <c r="YP44" s="513"/>
      <c r="YQ44" s="513"/>
      <c r="YR44" s="513"/>
      <c r="YS44" s="513"/>
      <c r="YT44" s="513"/>
      <c r="YU44" s="513"/>
      <c r="YV44" s="513"/>
      <c r="YW44" s="513"/>
      <c r="YX44" s="513"/>
      <c r="YY44" s="513"/>
      <c r="YZ44" s="513"/>
      <c r="ZA44" s="513"/>
      <c r="ZB44" s="513"/>
      <c r="ZC44" s="513"/>
      <c r="ZD44" s="513"/>
      <c r="ZE44" s="513"/>
      <c r="ZF44" s="513"/>
      <c r="ZG44" s="513"/>
      <c r="ZH44" s="513"/>
      <c r="ZI44" s="513"/>
      <c r="ZJ44" s="513"/>
      <c r="ZK44" s="513"/>
      <c r="ZL44" s="513"/>
      <c r="ZM44" s="513"/>
      <c r="ZN44" s="513"/>
      <c r="ZO44" s="513"/>
      <c r="ZP44" s="513"/>
      <c r="ZQ44" s="513"/>
      <c r="ZR44" s="513"/>
      <c r="ZS44" s="513"/>
      <c r="ZT44" s="513"/>
      <c r="ZU44" s="513"/>
      <c r="ZV44" s="513"/>
      <c r="ZW44" s="513"/>
      <c r="ZX44" s="513"/>
      <c r="ZY44" s="513"/>
      <c r="ZZ44" s="513"/>
      <c r="AAA44" s="513"/>
      <c r="AAB44" s="513"/>
      <c r="AAC44" s="513"/>
      <c r="AAD44" s="513"/>
      <c r="AAE44" s="513"/>
      <c r="AAF44" s="513"/>
      <c r="AAG44" s="513"/>
      <c r="AAH44" s="513"/>
      <c r="AAI44" s="513"/>
      <c r="AAJ44" s="513"/>
      <c r="AAK44" s="513"/>
      <c r="AAL44" s="513"/>
      <c r="AAM44" s="513"/>
      <c r="AAN44" s="513"/>
      <c r="AAO44" s="513"/>
      <c r="AAP44" s="513"/>
      <c r="AAQ44" s="513"/>
      <c r="AAR44" s="513"/>
      <c r="AAS44" s="513"/>
      <c r="AAT44" s="513"/>
      <c r="AAU44" s="513"/>
      <c r="AAV44" s="513"/>
      <c r="AAW44" s="513"/>
      <c r="AAX44" s="513"/>
      <c r="AAY44" s="513"/>
      <c r="AAZ44" s="513"/>
      <c r="ABA44" s="513"/>
      <c r="ABB44" s="513"/>
      <c r="ABC44" s="513"/>
      <c r="ABD44" s="513"/>
      <c r="ABE44" s="513"/>
      <c r="ABF44" s="513"/>
      <c r="ABG44" s="513"/>
      <c r="ABH44" s="513"/>
      <c r="ABI44" s="513"/>
      <c r="ABJ44" s="513"/>
      <c r="ABK44" s="513"/>
      <c r="ABL44" s="513"/>
      <c r="ABM44" s="513"/>
      <c r="ABN44" s="513"/>
      <c r="ABO44" s="513"/>
      <c r="ABP44" s="513"/>
      <c r="ABQ44" s="513"/>
      <c r="ABR44" s="513"/>
      <c r="ABS44" s="513"/>
      <c r="ABT44" s="513"/>
      <c r="ABU44" s="513"/>
      <c r="ABV44" s="513"/>
      <c r="ABW44" s="513"/>
      <c r="ABX44" s="513"/>
      <c r="ABY44" s="513"/>
      <c r="ABZ44" s="513"/>
      <c r="ACA44" s="513"/>
      <c r="ACB44" s="513"/>
      <c r="ACC44" s="513"/>
      <c r="ACD44" s="513"/>
      <c r="ACE44" s="513"/>
      <c r="ACF44" s="513"/>
      <c r="ACG44" s="513"/>
      <c r="ACH44" s="513"/>
      <c r="ACI44" s="513"/>
      <c r="ACJ44" s="513"/>
      <c r="ACK44" s="513"/>
      <c r="ACL44" s="513"/>
      <c r="ACM44" s="513"/>
      <c r="ACN44" s="513"/>
      <c r="ACO44" s="513"/>
      <c r="ACP44" s="513"/>
      <c r="ACQ44" s="513"/>
      <c r="ACR44" s="513"/>
      <c r="ACS44" s="513"/>
      <c r="ACT44" s="513"/>
      <c r="ACU44" s="513"/>
      <c r="ACV44" s="513"/>
      <c r="ACW44" s="513"/>
      <c r="ACX44" s="513"/>
      <c r="ACY44" s="513"/>
      <c r="ACZ44" s="513"/>
      <c r="ADA44" s="513"/>
      <c r="ADB44" s="513"/>
      <c r="ADC44" s="513"/>
      <c r="ADD44" s="513"/>
      <c r="ADE44" s="513"/>
      <c r="ADF44" s="513"/>
      <c r="ADG44" s="513"/>
      <c r="ADH44" s="513"/>
      <c r="ADI44" s="513"/>
      <c r="ADJ44" s="513"/>
      <c r="ADK44" s="513"/>
      <c r="ADL44" s="513"/>
      <c r="ADM44" s="513"/>
      <c r="ADN44" s="513"/>
      <c r="ADO44" s="513"/>
      <c r="ADP44" s="513"/>
      <c r="ADQ44" s="513"/>
      <c r="ADR44" s="513"/>
      <c r="ADS44" s="513"/>
      <c r="ADT44" s="513"/>
      <c r="ADU44" s="513"/>
      <c r="ADV44" s="513"/>
      <c r="ADW44" s="513"/>
      <c r="ADX44" s="513"/>
      <c r="ADY44" s="513"/>
      <c r="ADZ44" s="513"/>
      <c r="AEA44" s="513"/>
      <c r="AEB44" s="513"/>
      <c r="AEC44" s="513"/>
      <c r="AED44" s="513"/>
      <c r="AEE44" s="513"/>
      <c r="AEF44" s="513"/>
      <c r="AEG44" s="513"/>
      <c r="AEH44" s="513"/>
      <c r="AEI44" s="513"/>
      <c r="AEJ44" s="513"/>
      <c r="AEK44" s="513"/>
      <c r="AEL44" s="513"/>
      <c r="AEM44" s="513"/>
      <c r="AEN44" s="513"/>
      <c r="AEO44" s="513"/>
      <c r="AEP44" s="513"/>
      <c r="AEQ44" s="513"/>
      <c r="AER44" s="513"/>
      <c r="AES44" s="513"/>
      <c r="AET44" s="513"/>
      <c r="AEU44" s="513"/>
      <c r="AEV44" s="513"/>
      <c r="AEW44" s="513"/>
      <c r="AEX44" s="513"/>
      <c r="AEY44" s="513"/>
      <c r="AEZ44" s="513"/>
      <c r="AFA44" s="513"/>
      <c r="AFB44" s="513"/>
      <c r="AFC44" s="513"/>
      <c r="AFD44" s="513"/>
      <c r="AFE44" s="513"/>
      <c r="AFF44" s="513"/>
      <c r="AFG44" s="513"/>
      <c r="AFH44" s="513"/>
      <c r="AFI44" s="513"/>
      <c r="AFJ44" s="513"/>
      <c r="AFK44" s="513"/>
      <c r="AFL44" s="513"/>
      <c r="AFM44" s="513"/>
      <c r="AFN44" s="513"/>
      <c r="AFO44" s="513"/>
      <c r="AFP44" s="513"/>
      <c r="AFQ44" s="513"/>
      <c r="AFR44" s="513"/>
      <c r="AFS44" s="513"/>
      <c r="AFT44" s="513"/>
      <c r="AFU44" s="513"/>
      <c r="AFV44" s="513"/>
      <c r="AFW44" s="513"/>
      <c r="AFX44" s="513"/>
      <c r="AFY44" s="513"/>
      <c r="AFZ44" s="513"/>
      <c r="AGA44" s="513"/>
      <c r="AGB44" s="513"/>
      <c r="AGC44" s="513"/>
      <c r="AGD44" s="513"/>
      <c r="AGE44" s="513"/>
      <c r="AGF44" s="513"/>
      <c r="AGG44" s="513"/>
      <c r="AGH44" s="513"/>
      <c r="AGI44" s="513"/>
      <c r="AGJ44" s="513"/>
      <c r="AGK44" s="513"/>
      <c r="AGL44" s="513"/>
      <c r="AGM44" s="513"/>
      <c r="AGN44" s="513"/>
      <c r="AGO44" s="513"/>
      <c r="AGP44" s="513"/>
      <c r="AGQ44" s="513"/>
      <c r="AGR44" s="513"/>
      <c r="AGS44" s="513"/>
      <c r="AGT44" s="513"/>
      <c r="AGU44" s="513"/>
      <c r="AGV44" s="513"/>
      <c r="AGW44" s="513"/>
      <c r="AGX44" s="513"/>
      <c r="AGY44" s="513"/>
      <c r="AGZ44" s="513"/>
      <c r="AHA44" s="513"/>
      <c r="AHB44" s="513"/>
      <c r="AHC44" s="513"/>
      <c r="AHD44" s="513"/>
      <c r="AHE44" s="513"/>
      <c r="AHF44" s="513"/>
      <c r="AHG44" s="513"/>
      <c r="AHH44" s="513"/>
      <c r="AHI44" s="513"/>
      <c r="AHJ44" s="513"/>
      <c r="AHK44" s="513"/>
      <c r="AHL44" s="513"/>
      <c r="AHM44" s="513"/>
      <c r="AHN44" s="513"/>
      <c r="AHO44" s="513"/>
      <c r="AHP44" s="513"/>
      <c r="AHQ44" s="513"/>
      <c r="AHR44" s="513"/>
      <c r="AHS44" s="513"/>
      <c r="AHT44" s="513"/>
      <c r="AHU44" s="513"/>
      <c r="AHV44" s="513"/>
      <c r="AHW44" s="513"/>
      <c r="AHX44" s="513"/>
      <c r="AHY44" s="513"/>
      <c r="AHZ44" s="513"/>
      <c r="AIA44" s="513"/>
      <c r="AIB44" s="513"/>
      <c r="AIC44" s="513"/>
      <c r="AID44" s="513"/>
      <c r="AIE44" s="513"/>
      <c r="AIF44" s="513"/>
      <c r="AIG44" s="513"/>
      <c r="AIH44" s="513"/>
      <c r="AII44" s="513"/>
      <c r="AIJ44" s="513"/>
      <c r="AIK44" s="513"/>
      <c r="AIL44" s="513"/>
      <c r="AIM44" s="513"/>
      <c r="AIN44" s="513"/>
      <c r="AIO44" s="513"/>
      <c r="AIP44" s="513"/>
      <c r="AIQ44" s="513"/>
      <c r="AIR44" s="513"/>
      <c r="AIS44" s="513"/>
      <c r="AIT44" s="513"/>
      <c r="AIU44" s="513"/>
      <c r="AIV44" s="513"/>
      <c r="AIW44" s="513"/>
      <c r="AIX44" s="513"/>
      <c r="AIY44" s="513"/>
      <c r="AIZ44" s="513"/>
      <c r="AJA44" s="513"/>
      <c r="AJB44" s="513"/>
      <c r="AJC44" s="513"/>
      <c r="AJD44" s="513"/>
      <c r="AJE44" s="513"/>
      <c r="AJF44" s="513"/>
      <c r="AJG44" s="513"/>
      <c r="AJH44" s="513"/>
      <c r="AJI44" s="513"/>
      <c r="AJJ44" s="513"/>
      <c r="AJK44" s="513"/>
      <c r="AJL44" s="513"/>
      <c r="AJM44" s="513"/>
      <c r="AJN44" s="513"/>
      <c r="AJO44" s="513"/>
      <c r="AJP44" s="513"/>
      <c r="AJQ44" s="513"/>
      <c r="AJR44" s="513"/>
      <c r="AJS44" s="513"/>
      <c r="AJT44" s="513"/>
      <c r="AJU44" s="513"/>
      <c r="AJV44" s="513"/>
      <c r="AJW44" s="513"/>
      <c r="AJX44" s="513"/>
      <c r="AJY44" s="513"/>
      <c r="AJZ44" s="513"/>
      <c r="AKA44" s="513"/>
      <c r="AKB44" s="513"/>
      <c r="AKC44" s="513"/>
      <c r="AKD44" s="513"/>
      <c r="AKE44" s="513"/>
      <c r="AKF44" s="513"/>
      <c r="AKG44" s="513"/>
      <c r="AKH44" s="513"/>
      <c r="AKI44" s="513"/>
      <c r="AKJ44" s="513"/>
      <c r="AKK44" s="513"/>
      <c r="AKL44" s="513"/>
      <c r="AKM44" s="513"/>
      <c r="AKN44" s="513"/>
      <c r="AKO44" s="513"/>
      <c r="AKP44" s="513"/>
      <c r="AKQ44" s="513"/>
      <c r="AKR44" s="513"/>
      <c r="AKS44" s="513"/>
      <c r="AKT44" s="513"/>
      <c r="AKU44" s="513"/>
      <c r="AKV44" s="513"/>
      <c r="AKW44" s="513"/>
      <c r="AKX44" s="513"/>
      <c r="AKY44" s="513"/>
      <c r="AKZ44" s="513"/>
      <c r="ALA44" s="513"/>
      <c r="ALB44" s="513"/>
      <c r="ALC44" s="513"/>
      <c r="ALD44" s="513"/>
      <c r="ALE44" s="513"/>
      <c r="ALF44" s="513"/>
      <c r="ALG44" s="513"/>
      <c r="ALH44" s="513"/>
      <c r="ALI44" s="513"/>
      <c r="ALJ44" s="513"/>
      <c r="ALK44" s="513"/>
      <c r="ALL44" s="513"/>
      <c r="ALM44" s="513"/>
      <c r="ALN44" s="513"/>
      <c r="ALO44" s="513"/>
      <c r="ALP44" s="513"/>
      <c r="ALQ44" s="513"/>
      <c r="ALR44" s="513"/>
      <c r="ALS44" s="513"/>
      <c r="ALT44" s="513"/>
      <c r="ALU44" s="513"/>
      <c r="ALV44" s="513"/>
      <c r="ALW44" s="513"/>
      <c r="ALX44" s="513"/>
      <c r="ALY44" s="513"/>
      <c r="ALZ44" s="513"/>
      <c r="AMA44" s="513"/>
      <c r="AMB44" s="513"/>
      <c r="AMC44" s="513"/>
      <c r="AMD44" s="513"/>
      <c r="AME44" s="513"/>
      <c r="AMF44" s="513"/>
      <c r="AMG44" s="513"/>
      <c r="AMH44" s="513"/>
      <c r="AMI44" s="513"/>
      <c r="AMJ44" s="513"/>
      <c r="AMK44" s="513"/>
    </row>
    <row r="45" spans="1:1025" ht="15.95" customHeight="1" x14ac:dyDescent="0.25">
      <c r="A45" s="524">
        <f t="shared" si="6"/>
        <v>2</v>
      </c>
      <c r="B45" s="525" t="str">
        <f t="shared" si="6"/>
        <v>Auxiliar de limpeza - Fórum Eleitoral de PARANAVAÍ</v>
      </c>
      <c r="C45" s="526">
        <f>'POSTOS e RESUMO'!H21/21</f>
        <v>21.009523809523809</v>
      </c>
      <c r="D45" s="527">
        <f t="shared" ref="D45:D46" si="7">C45*$D$43</f>
        <v>7.3533333333333326</v>
      </c>
      <c r="E45" s="528">
        <f t="shared" ref="E45:E46" si="8">ROUND(C45+D45,2)</f>
        <v>28.36</v>
      </c>
      <c r="F45" s="1310"/>
      <c r="G45" s="529"/>
      <c r="H45" s="529"/>
      <c r="I45" s="529"/>
      <c r="J45" s="530"/>
      <c r="K45" s="530"/>
      <c r="L45" s="530"/>
      <c r="M45" s="530"/>
      <c r="N45" s="530"/>
      <c r="O45" s="530"/>
      <c r="P45" s="530"/>
      <c r="Q45" s="530"/>
      <c r="R45" s="512"/>
      <c r="S45" s="513"/>
      <c r="T45" s="513"/>
      <c r="U45" s="513"/>
      <c r="V45" s="513"/>
      <c r="W45" s="513"/>
      <c r="X45" s="513"/>
      <c r="Y45" s="513"/>
      <c r="Z45" s="513"/>
      <c r="AA45" s="513"/>
      <c r="AB45" s="513"/>
      <c r="AC45" s="513"/>
      <c r="AD45" s="513"/>
      <c r="AE45" s="513"/>
      <c r="AF45" s="513"/>
      <c r="AG45" s="513"/>
      <c r="AH45" s="513"/>
      <c r="AI45" s="513"/>
      <c r="AJ45" s="513"/>
      <c r="AK45" s="513"/>
      <c r="AL45" s="513"/>
      <c r="AM45" s="513"/>
      <c r="AN45" s="513"/>
      <c r="AO45" s="513"/>
      <c r="AP45" s="513"/>
      <c r="AQ45" s="513"/>
      <c r="AR45" s="513"/>
      <c r="AS45" s="513"/>
      <c r="AT45" s="513"/>
      <c r="AU45" s="513"/>
      <c r="AV45" s="513"/>
      <c r="AW45" s="513"/>
      <c r="AX45" s="513"/>
      <c r="AY45" s="513"/>
      <c r="AZ45" s="513"/>
      <c r="BA45" s="513"/>
      <c r="BB45" s="513"/>
      <c r="BC45" s="513"/>
      <c r="BD45" s="513"/>
      <c r="BE45" s="513"/>
      <c r="BF45" s="513"/>
      <c r="BG45" s="513"/>
      <c r="BH45" s="513"/>
      <c r="BI45" s="513"/>
      <c r="BJ45" s="513"/>
      <c r="BK45" s="513"/>
      <c r="BL45" s="513"/>
      <c r="BM45" s="513"/>
      <c r="BN45" s="513"/>
      <c r="BO45" s="513"/>
      <c r="BP45" s="513"/>
      <c r="BQ45" s="513"/>
      <c r="BR45" s="513"/>
      <c r="BS45" s="513"/>
      <c r="BT45" s="513"/>
      <c r="BU45" s="513"/>
      <c r="BV45" s="513"/>
      <c r="BW45" s="513"/>
      <c r="BX45" s="513"/>
      <c r="BY45" s="513"/>
      <c r="BZ45" s="513"/>
      <c r="CA45" s="513"/>
      <c r="CB45" s="513"/>
      <c r="CC45" s="513"/>
      <c r="CD45" s="513"/>
      <c r="CE45" s="513"/>
      <c r="CF45" s="513"/>
      <c r="CG45" s="513"/>
      <c r="CH45" s="513"/>
      <c r="CI45" s="513"/>
      <c r="CJ45" s="513"/>
      <c r="CK45" s="513"/>
      <c r="CL45" s="513"/>
      <c r="CM45" s="513"/>
      <c r="CN45" s="513"/>
      <c r="CO45" s="513"/>
      <c r="CP45" s="513"/>
      <c r="CQ45" s="513"/>
      <c r="CR45" s="513"/>
      <c r="CS45" s="513"/>
      <c r="CT45" s="513"/>
      <c r="CU45" s="513"/>
      <c r="CV45" s="513"/>
      <c r="CW45" s="513"/>
      <c r="CX45" s="513"/>
      <c r="CY45" s="513"/>
      <c r="CZ45" s="513"/>
      <c r="DA45" s="513"/>
      <c r="DB45" s="513"/>
      <c r="DC45" s="513"/>
      <c r="DD45" s="513"/>
      <c r="DE45" s="513"/>
      <c r="DF45" s="513"/>
      <c r="DG45" s="513"/>
      <c r="DH45" s="513"/>
      <c r="DI45" s="513"/>
      <c r="DJ45" s="513"/>
      <c r="DK45" s="513"/>
      <c r="DL45" s="513"/>
      <c r="DM45" s="513"/>
      <c r="DN45" s="513"/>
      <c r="DO45" s="513"/>
      <c r="DP45" s="513"/>
      <c r="DQ45" s="513"/>
      <c r="DR45" s="513"/>
      <c r="DS45" s="513"/>
      <c r="DT45" s="513"/>
      <c r="DU45" s="513"/>
      <c r="DV45" s="513"/>
      <c r="DW45" s="513"/>
      <c r="DX45" s="513"/>
      <c r="DY45" s="513"/>
      <c r="DZ45" s="513"/>
      <c r="EA45" s="513"/>
      <c r="EB45" s="513"/>
      <c r="EC45" s="513"/>
      <c r="ED45" s="513"/>
      <c r="EE45" s="513"/>
      <c r="EF45" s="513"/>
      <c r="EG45" s="513"/>
      <c r="EH45" s="513"/>
      <c r="EI45" s="513"/>
      <c r="EJ45" s="513"/>
      <c r="EK45" s="513"/>
      <c r="EL45" s="513"/>
      <c r="EM45" s="513"/>
      <c r="EN45" s="513"/>
      <c r="EO45" s="513"/>
      <c r="EP45" s="513"/>
      <c r="EQ45" s="513"/>
      <c r="ER45" s="513"/>
      <c r="ES45" s="513"/>
      <c r="ET45" s="513"/>
      <c r="EU45" s="513"/>
      <c r="EV45" s="513"/>
      <c r="EW45" s="513"/>
      <c r="EX45" s="513"/>
      <c r="EY45" s="513"/>
      <c r="EZ45" s="513"/>
      <c r="FA45" s="513"/>
      <c r="FB45" s="513"/>
      <c r="FC45" s="513"/>
      <c r="FD45" s="513"/>
      <c r="FE45" s="513"/>
      <c r="FF45" s="513"/>
      <c r="FG45" s="513"/>
      <c r="FH45" s="513"/>
      <c r="FI45" s="513"/>
      <c r="FJ45" s="513"/>
      <c r="FK45" s="513"/>
      <c r="FL45" s="513"/>
      <c r="FM45" s="513"/>
      <c r="FN45" s="513"/>
      <c r="FO45" s="513"/>
      <c r="FP45" s="513"/>
      <c r="FQ45" s="513"/>
      <c r="FR45" s="513"/>
      <c r="FS45" s="513"/>
      <c r="FT45" s="513"/>
      <c r="FU45" s="513"/>
      <c r="FV45" s="513"/>
      <c r="FW45" s="513"/>
      <c r="FX45" s="513"/>
      <c r="FY45" s="513"/>
      <c r="FZ45" s="513"/>
      <c r="GA45" s="513"/>
      <c r="GB45" s="513"/>
      <c r="GC45" s="513"/>
      <c r="GD45" s="513"/>
      <c r="GE45" s="513"/>
      <c r="GF45" s="513"/>
      <c r="GG45" s="513"/>
      <c r="GH45" s="513"/>
      <c r="GI45" s="513"/>
      <c r="GJ45" s="513"/>
      <c r="GK45" s="513"/>
      <c r="GL45" s="513"/>
      <c r="GM45" s="513"/>
      <c r="GN45" s="513"/>
      <c r="GO45" s="513"/>
      <c r="GP45" s="513"/>
      <c r="GQ45" s="513"/>
      <c r="GR45" s="513"/>
      <c r="GS45" s="513"/>
      <c r="GT45" s="513"/>
      <c r="GU45" s="513"/>
      <c r="GV45" s="513"/>
      <c r="GW45" s="513"/>
      <c r="GX45" s="513"/>
      <c r="GY45" s="513"/>
      <c r="GZ45" s="513"/>
      <c r="HA45" s="513"/>
      <c r="HB45" s="513"/>
      <c r="HC45" s="513"/>
      <c r="HD45" s="513"/>
      <c r="HE45" s="513"/>
      <c r="HF45" s="513"/>
      <c r="HG45" s="513"/>
      <c r="HH45" s="513"/>
      <c r="HI45" s="513"/>
      <c r="HJ45" s="513"/>
      <c r="HK45" s="513"/>
      <c r="HL45" s="513"/>
      <c r="HM45" s="513"/>
      <c r="HN45" s="513"/>
      <c r="HO45" s="513"/>
      <c r="HP45" s="513"/>
      <c r="HQ45" s="513"/>
      <c r="HR45" s="513"/>
      <c r="HS45" s="513"/>
      <c r="HT45" s="513"/>
      <c r="HU45" s="513"/>
      <c r="HV45" s="513"/>
      <c r="HW45" s="513"/>
      <c r="HX45" s="513"/>
      <c r="HY45" s="513"/>
      <c r="HZ45" s="513"/>
      <c r="IA45" s="513"/>
      <c r="IB45" s="513"/>
      <c r="IC45" s="513"/>
      <c r="ID45" s="513"/>
      <c r="IE45" s="513"/>
      <c r="IF45" s="513"/>
      <c r="IG45" s="513"/>
      <c r="IH45" s="513"/>
      <c r="II45" s="513"/>
      <c r="IJ45" s="513"/>
      <c r="IK45" s="513"/>
      <c r="IL45" s="513"/>
      <c r="IM45" s="513"/>
      <c r="IN45" s="513"/>
      <c r="IO45" s="513"/>
      <c r="IP45" s="513"/>
      <c r="IQ45" s="513"/>
      <c r="IR45" s="513"/>
      <c r="IS45" s="513"/>
      <c r="IT45" s="513"/>
      <c r="IU45" s="513"/>
      <c r="IV45" s="513"/>
      <c r="IW45" s="513"/>
      <c r="IX45" s="513"/>
      <c r="IY45" s="513"/>
      <c r="IZ45" s="513"/>
      <c r="JA45" s="513"/>
      <c r="JB45" s="513"/>
      <c r="JC45" s="513"/>
      <c r="JD45" s="513"/>
      <c r="JE45" s="513"/>
      <c r="JF45" s="513"/>
      <c r="JG45" s="513"/>
      <c r="JH45" s="513"/>
      <c r="JI45" s="513"/>
      <c r="JJ45" s="513"/>
      <c r="JK45" s="513"/>
      <c r="JL45" s="513"/>
      <c r="JM45" s="513"/>
      <c r="JN45" s="513"/>
      <c r="JO45" s="513"/>
      <c r="JP45" s="513"/>
      <c r="JQ45" s="513"/>
      <c r="JR45" s="513"/>
      <c r="JS45" s="513"/>
      <c r="JT45" s="513"/>
      <c r="JU45" s="513"/>
      <c r="JV45" s="513"/>
      <c r="JW45" s="513"/>
      <c r="JX45" s="513"/>
      <c r="JY45" s="513"/>
      <c r="JZ45" s="513"/>
      <c r="KA45" s="513"/>
      <c r="KB45" s="513"/>
      <c r="KC45" s="513"/>
      <c r="KD45" s="513"/>
      <c r="KE45" s="513"/>
      <c r="KF45" s="513"/>
      <c r="KG45" s="513"/>
      <c r="KH45" s="513"/>
      <c r="KI45" s="513"/>
      <c r="KJ45" s="513"/>
      <c r="KK45" s="513"/>
      <c r="KL45" s="513"/>
      <c r="KM45" s="513"/>
      <c r="KN45" s="513"/>
      <c r="KO45" s="513"/>
      <c r="KP45" s="513"/>
      <c r="KQ45" s="513"/>
      <c r="KR45" s="513"/>
      <c r="KS45" s="513"/>
      <c r="KT45" s="513"/>
      <c r="KU45" s="513"/>
      <c r="KV45" s="513"/>
      <c r="KW45" s="513"/>
      <c r="KX45" s="513"/>
      <c r="KY45" s="513"/>
      <c r="KZ45" s="513"/>
      <c r="LA45" s="513"/>
      <c r="LB45" s="513"/>
      <c r="LC45" s="513"/>
      <c r="LD45" s="513"/>
      <c r="LE45" s="513"/>
      <c r="LF45" s="513"/>
      <c r="LG45" s="513"/>
      <c r="LH45" s="513"/>
      <c r="LI45" s="513"/>
      <c r="LJ45" s="513"/>
      <c r="LK45" s="513"/>
      <c r="LL45" s="513"/>
      <c r="LM45" s="513"/>
      <c r="LN45" s="513"/>
      <c r="LO45" s="513"/>
      <c r="LP45" s="513"/>
      <c r="LQ45" s="513"/>
      <c r="LR45" s="513"/>
      <c r="LS45" s="513"/>
      <c r="LT45" s="513"/>
      <c r="LU45" s="513"/>
      <c r="LV45" s="513"/>
      <c r="LW45" s="513"/>
      <c r="LX45" s="513"/>
      <c r="LY45" s="513"/>
      <c r="LZ45" s="513"/>
      <c r="MA45" s="513"/>
      <c r="MB45" s="513"/>
      <c r="MC45" s="513"/>
      <c r="MD45" s="513"/>
      <c r="ME45" s="513"/>
      <c r="MF45" s="513"/>
      <c r="MG45" s="513"/>
      <c r="MH45" s="513"/>
      <c r="MI45" s="513"/>
      <c r="MJ45" s="513"/>
      <c r="MK45" s="513"/>
      <c r="ML45" s="513"/>
      <c r="MM45" s="513"/>
      <c r="MN45" s="513"/>
      <c r="MO45" s="513"/>
      <c r="MP45" s="513"/>
      <c r="MQ45" s="513"/>
      <c r="MR45" s="513"/>
      <c r="MS45" s="513"/>
      <c r="MT45" s="513"/>
      <c r="MU45" s="513"/>
      <c r="MV45" s="513"/>
      <c r="MW45" s="513"/>
      <c r="MX45" s="513"/>
      <c r="MY45" s="513"/>
      <c r="MZ45" s="513"/>
      <c r="NA45" s="513"/>
      <c r="NB45" s="513"/>
      <c r="NC45" s="513"/>
      <c r="ND45" s="513"/>
      <c r="NE45" s="513"/>
      <c r="NF45" s="513"/>
      <c r="NG45" s="513"/>
      <c r="NH45" s="513"/>
      <c r="NI45" s="513"/>
      <c r="NJ45" s="513"/>
      <c r="NK45" s="513"/>
      <c r="NL45" s="513"/>
      <c r="NM45" s="513"/>
      <c r="NN45" s="513"/>
      <c r="NO45" s="513"/>
      <c r="NP45" s="513"/>
      <c r="NQ45" s="513"/>
      <c r="NR45" s="513"/>
      <c r="NS45" s="513"/>
      <c r="NT45" s="513"/>
      <c r="NU45" s="513"/>
      <c r="NV45" s="513"/>
      <c r="NW45" s="513"/>
      <c r="NX45" s="513"/>
      <c r="NY45" s="513"/>
      <c r="NZ45" s="513"/>
      <c r="OA45" s="513"/>
      <c r="OB45" s="513"/>
      <c r="OC45" s="513"/>
      <c r="OD45" s="513"/>
      <c r="OE45" s="513"/>
      <c r="OF45" s="513"/>
      <c r="OG45" s="513"/>
      <c r="OH45" s="513"/>
      <c r="OI45" s="513"/>
      <c r="OJ45" s="513"/>
      <c r="OK45" s="513"/>
      <c r="OL45" s="513"/>
      <c r="OM45" s="513"/>
      <c r="ON45" s="513"/>
      <c r="OO45" s="513"/>
      <c r="OP45" s="513"/>
      <c r="OQ45" s="513"/>
      <c r="OR45" s="513"/>
      <c r="OS45" s="513"/>
      <c r="OT45" s="513"/>
      <c r="OU45" s="513"/>
      <c r="OV45" s="513"/>
      <c r="OW45" s="513"/>
      <c r="OX45" s="513"/>
      <c r="OY45" s="513"/>
      <c r="OZ45" s="513"/>
      <c r="PA45" s="513"/>
      <c r="PB45" s="513"/>
      <c r="PC45" s="513"/>
      <c r="PD45" s="513"/>
      <c r="PE45" s="513"/>
      <c r="PF45" s="513"/>
      <c r="PG45" s="513"/>
      <c r="PH45" s="513"/>
      <c r="PI45" s="513"/>
      <c r="PJ45" s="513"/>
      <c r="PK45" s="513"/>
      <c r="PL45" s="513"/>
      <c r="PM45" s="513"/>
      <c r="PN45" s="513"/>
      <c r="PO45" s="513"/>
      <c r="PP45" s="513"/>
      <c r="PQ45" s="513"/>
      <c r="PR45" s="513"/>
      <c r="PS45" s="513"/>
      <c r="PT45" s="513"/>
      <c r="PU45" s="513"/>
      <c r="PV45" s="513"/>
      <c r="PW45" s="513"/>
      <c r="PX45" s="513"/>
      <c r="PY45" s="513"/>
      <c r="PZ45" s="513"/>
      <c r="QA45" s="513"/>
      <c r="QB45" s="513"/>
      <c r="QC45" s="513"/>
      <c r="QD45" s="513"/>
      <c r="QE45" s="513"/>
      <c r="QF45" s="513"/>
      <c r="QG45" s="513"/>
      <c r="QH45" s="513"/>
      <c r="QI45" s="513"/>
      <c r="QJ45" s="513"/>
      <c r="QK45" s="513"/>
      <c r="QL45" s="513"/>
      <c r="QM45" s="513"/>
      <c r="QN45" s="513"/>
      <c r="QO45" s="513"/>
      <c r="QP45" s="513"/>
      <c r="QQ45" s="513"/>
      <c r="QR45" s="513"/>
      <c r="QS45" s="513"/>
      <c r="QT45" s="513"/>
      <c r="QU45" s="513"/>
      <c r="QV45" s="513"/>
      <c r="QW45" s="513"/>
      <c r="QX45" s="513"/>
      <c r="QY45" s="513"/>
      <c r="QZ45" s="513"/>
      <c r="RA45" s="513"/>
      <c r="RB45" s="513"/>
      <c r="RC45" s="513"/>
      <c r="RD45" s="513"/>
      <c r="RE45" s="513"/>
      <c r="RF45" s="513"/>
      <c r="RG45" s="513"/>
      <c r="RH45" s="513"/>
      <c r="RI45" s="513"/>
      <c r="RJ45" s="513"/>
      <c r="RK45" s="513"/>
      <c r="RL45" s="513"/>
      <c r="RM45" s="513"/>
      <c r="RN45" s="513"/>
      <c r="RO45" s="513"/>
      <c r="RP45" s="513"/>
      <c r="RQ45" s="513"/>
      <c r="RR45" s="513"/>
      <c r="RS45" s="513"/>
      <c r="RT45" s="513"/>
      <c r="RU45" s="513"/>
      <c r="RV45" s="513"/>
      <c r="RW45" s="513"/>
      <c r="RX45" s="513"/>
      <c r="RY45" s="513"/>
      <c r="RZ45" s="513"/>
      <c r="SA45" s="513"/>
      <c r="SB45" s="513"/>
      <c r="SC45" s="513"/>
      <c r="SD45" s="513"/>
      <c r="SE45" s="513"/>
      <c r="SF45" s="513"/>
      <c r="SG45" s="513"/>
      <c r="SH45" s="513"/>
      <c r="SI45" s="513"/>
      <c r="SJ45" s="513"/>
      <c r="SK45" s="513"/>
      <c r="SL45" s="513"/>
      <c r="SM45" s="513"/>
      <c r="SN45" s="513"/>
      <c r="SO45" s="513"/>
      <c r="SP45" s="513"/>
      <c r="SQ45" s="513"/>
      <c r="SR45" s="513"/>
      <c r="SS45" s="513"/>
      <c r="ST45" s="513"/>
      <c r="SU45" s="513"/>
      <c r="SV45" s="513"/>
      <c r="SW45" s="513"/>
      <c r="SX45" s="513"/>
      <c r="SY45" s="513"/>
      <c r="SZ45" s="513"/>
      <c r="TA45" s="513"/>
      <c r="TB45" s="513"/>
      <c r="TC45" s="513"/>
      <c r="TD45" s="513"/>
      <c r="TE45" s="513"/>
      <c r="TF45" s="513"/>
      <c r="TG45" s="513"/>
      <c r="TH45" s="513"/>
      <c r="TI45" s="513"/>
      <c r="TJ45" s="513"/>
      <c r="TK45" s="513"/>
      <c r="TL45" s="513"/>
      <c r="TM45" s="513"/>
      <c r="TN45" s="513"/>
      <c r="TO45" s="513"/>
      <c r="TP45" s="513"/>
      <c r="TQ45" s="513"/>
      <c r="TR45" s="513"/>
      <c r="TS45" s="513"/>
      <c r="TT45" s="513"/>
      <c r="TU45" s="513"/>
      <c r="TV45" s="513"/>
      <c r="TW45" s="513"/>
      <c r="TX45" s="513"/>
      <c r="TY45" s="513"/>
      <c r="TZ45" s="513"/>
      <c r="UA45" s="513"/>
      <c r="UB45" s="513"/>
      <c r="UC45" s="513"/>
      <c r="UD45" s="513"/>
      <c r="UE45" s="513"/>
      <c r="UF45" s="513"/>
      <c r="UG45" s="513"/>
      <c r="UH45" s="513"/>
      <c r="UI45" s="513"/>
      <c r="UJ45" s="513"/>
      <c r="UK45" s="513"/>
      <c r="UL45" s="513"/>
      <c r="UM45" s="513"/>
      <c r="UN45" s="513"/>
      <c r="UO45" s="513"/>
      <c r="UP45" s="513"/>
      <c r="UQ45" s="513"/>
      <c r="UR45" s="513"/>
      <c r="US45" s="513"/>
      <c r="UT45" s="513"/>
      <c r="UU45" s="513"/>
      <c r="UV45" s="513"/>
      <c r="UW45" s="513"/>
      <c r="UX45" s="513"/>
      <c r="UY45" s="513"/>
      <c r="UZ45" s="513"/>
      <c r="VA45" s="513"/>
      <c r="VB45" s="513"/>
      <c r="VC45" s="513"/>
      <c r="VD45" s="513"/>
      <c r="VE45" s="513"/>
      <c r="VF45" s="513"/>
      <c r="VG45" s="513"/>
      <c r="VH45" s="513"/>
      <c r="VI45" s="513"/>
      <c r="VJ45" s="513"/>
      <c r="VK45" s="513"/>
      <c r="VL45" s="513"/>
      <c r="VM45" s="513"/>
      <c r="VN45" s="513"/>
      <c r="VO45" s="513"/>
      <c r="VP45" s="513"/>
      <c r="VQ45" s="513"/>
      <c r="VR45" s="513"/>
      <c r="VS45" s="513"/>
      <c r="VT45" s="513"/>
      <c r="VU45" s="513"/>
      <c r="VV45" s="513"/>
      <c r="VW45" s="513"/>
      <c r="VX45" s="513"/>
      <c r="VY45" s="513"/>
      <c r="VZ45" s="513"/>
      <c r="WA45" s="513"/>
      <c r="WB45" s="513"/>
      <c r="WC45" s="513"/>
      <c r="WD45" s="513"/>
      <c r="WE45" s="513"/>
      <c r="WF45" s="513"/>
      <c r="WG45" s="513"/>
      <c r="WH45" s="513"/>
      <c r="WI45" s="513"/>
      <c r="WJ45" s="513"/>
      <c r="WK45" s="513"/>
      <c r="WL45" s="513"/>
      <c r="WM45" s="513"/>
      <c r="WN45" s="513"/>
      <c r="WO45" s="513"/>
      <c r="WP45" s="513"/>
      <c r="WQ45" s="513"/>
      <c r="WR45" s="513"/>
      <c r="WS45" s="513"/>
      <c r="WT45" s="513"/>
      <c r="WU45" s="513"/>
      <c r="WV45" s="513"/>
      <c r="WW45" s="513"/>
      <c r="WX45" s="513"/>
      <c r="WY45" s="513"/>
      <c r="WZ45" s="513"/>
      <c r="XA45" s="513"/>
      <c r="XB45" s="513"/>
      <c r="XC45" s="513"/>
      <c r="XD45" s="513"/>
      <c r="XE45" s="513"/>
      <c r="XF45" s="513"/>
      <c r="XG45" s="513"/>
      <c r="XH45" s="513"/>
      <c r="XI45" s="513"/>
      <c r="XJ45" s="513"/>
      <c r="XK45" s="513"/>
      <c r="XL45" s="513"/>
      <c r="XM45" s="513"/>
      <c r="XN45" s="513"/>
      <c r="XO45" s="513"/>
      <c r="XP45" s="513"/>
      <c r="XQ45" s="513"/>
      <c r="XR45" s="513"/>
      <c r="XS45" s="513"/>
      <c r="XT45" s="513"/>
      <c r="XU45" s="513"/>
      <c r="XV45" s="513"/>
      <c r="XW45" s="513"/>
      <c r="XX45" s="513"/>
      <c r="XY45" s="513"/>
      <c r="XZ45" s="513"/>
      <c r="YA45" s="513"/>
      <c r="YB45" s="513"/>
      <c r="YC45" s="513"/>
      <c r="YD45" s="513"/>
      <c r="YE45" s="513"/>
      <c r="YF45" s="513"/>
      <c r="YG45" s="513"/>
      <c r="YH45" s="513"/>
      <c r="YI45" s="513"/>
      <c r="YJ45" s="513"/>
      <c r="YK45" s="513"/>
      <c r="YL45" s="513"/>
      <c r="YM45" s="513"/>
      <c r="YN45" s="513"/>
      <c r="YO45" s="513"/>
      <c r="YP45" s="513"/>
      <c r="YQ45" s="513"/>
      <c r="YR45" s="513"/>
      <c r="YS45" s="513"/>
      <c r="YT45" s="513"/>
      <c r="YU45" s="513"/>
      <c r="YV45" s="513"/>
      <c r="YW45" s="513"/>
      <c r="YX45" s="513"/>
      <c r="YY45" s="513"/>
      <c r="YZ45" s="513"/>
      <c r="ZA45" s="513"/>
      <c r="ZB45" s="513"/>
      <c r="ZC45" s="513"/>
      <c r="ZD45" s="513"/>
      <c r="ZE45" s="513"/>
      <c r="ZF45" s="513"/>
      <c r="ZG45" s="513"/>
      <c r="ZH45" s="513"/>
      <c r="ZI45" s="513"/>
      <c r="ZJ45" s="513"/>
      <c r="ZK45" s="513"/>
      <c r="ZL45" s="513"/>
      <c r="ZM45" s="513"/>
      <c r="ZN45" s="513"/>
      <c r="ZO45" s="513"/>
      <c r="ZP45" s="513"/>
      <c r="ZQ45" s="513"/>
      <c r="ZR45" s="513"/>
      <c r="ZS45" s="513"/>
      <c r="ZT45" s="513"/>
      <c r="ZU45" s="513"/>
      <c r="ZV45" s="513"/>
      <c r="ZW45" s="513"/>
      <c r="ZX45" s="513"/>
      <c r="ZY45" s="513"/>
      <c r="ZZ45" s="513"/>
      <c r="AAA45" s="513"/>
      <c r="AAB45" s="513"/>
      <c r="AAC45" s="513"/>
      <c r="AAD45" s="513"/>
      <c r="AAE45" s="513"/>
      <c r="AAF45" s="513"/>
      <c r="AAG45" s="513"/>
      <c r="AAH45" s="513"/>
      <c r="AAI45" s="513"/>
      <c r="AAJ45" s="513"/>
      <c r="AAK45" s="513"/>
      <c r="AAL45" s="513"/>
      <c r="AAM45" s="513"/>
      <c r="AAN45" s="513"/>
      <c r="AAO45" s="513"/>
      <c r="AAP45" s="513"/>
      <c r="AAQ45" s="513"/>
      <c r="AAR45" s="513"/>
      <c r="AAS45" s="513"/>
      <c r="AAT45" s="513"/>
      <c r="AAU45" s="513"/>
      <c r="AAV45" s="513"/>
      <c r="AAW45" s="513"/>
      <c r="AAX45" s="513"/>
      <c r="AAY45" s="513"/>
      <c r="AAZ45" s="513"/>
      <c r="ABA45" s="513"/>
      <c r="ABB45" s="513"/>
      <c r="ABC45" s="513"/>
      <c r="ABD45" s="513"/>
      <c r="ABE45" s="513"/>
      <c r="ABF45" s="513"/>
      <c r="ABG45" s="513"/>
      <c r="ABH45" s="513"/>
      <c r="ABI45" s="513"/>
      <c r="ABJ45" s="513"/>
      <c r="ABK45" s="513"/>
      <c r="ABL45" s="513"/>
      <c r="ABM45" s="513"/>
      <c r="ABN45" s="513"/>
      <c r="ABO45" s="513"/>
      <c r="ABP45" s="513"/>
      <c r="ABQ45" s="513"/>
      <c r="ABR45" s="513"/>
      <c r="ABS45" s="513"/>
      <c r="ABT45" s="513"/>
      <c r="ABU45" s="513"/>
      <c r="ABV45" s="513"/>
      <c r="ABW45" s="513"/>
      <c r="ABX45" s="513"/>
      <c r="ABY45" s="513"/>
      <c r="ABZ45" s="513"/>
      <c r="ACA45" s="513"/>
      <c r="ACB45" s="513"/>
      <c r="ACC45" s="513"/>
      <c r="ACD45" s="513"/>
      <c r="ACE45" s="513"/>
      <c r="ACF45" s="513"/>
      <c r="ACG45" s="513"/>
      <c r="ACH45" s="513"/>
      <c r="ACI45" s="513"/>
      <c r="ACJ45" s="513"/>
      <c r="ACK45" s="513"/>
      <c r="ACL45" s="513"/>
      <c r="ACM45" s="513"/>
      <c r="ACN45" s="513"/>
      <c r="ACO45" s="513"/>
      <c r="ACP45" s="513"/>
      <c r="ACQ45" s="513"/>
      <c r="ACR45" s="513"/>
      <c r="ACS45" s="513"/>
      <c r="ACT45" s="513"/>
      <c r="ACU45" s="513"/>
      <c r="ACV45" s="513"/>
      <c r="ACW45" s="513"/>
      <c r="ACX45" s="513"/>
      <c r="ACY45" s="513"/>
      <c r="ACZ45" s="513"/>
      <c r="ADA45" s="513"/>
      <c r="ADB45" s="513"/>
      <c r="ADC45" s="513"/>
      <c r="ADD45" s="513"/>
      <c r="ADE45" s="513"/>
      <c r="ADF45" s="513"/>
      <c r="ADG45" s="513"/>
      <c r="ADH45" s="513"/>
      <c r="ADI45" s="513"/>
      <c r="ADJ45" s="513"/>
      <c r="ADK45" s="513"/>
      <c r="ADL45" s="513"/>
      <c r="ADM45" s="513"/>
      <c r="ADN45" s="513"/>
      <c r="ADO45" s="513"/>
      <c r="ADP45" s="513"/>
      <c r="ADQ45" s="513"/>
      <c r="ADR45" s="513"/>
      <c r="ADS45" s="513"/>
      <c r="ADT45" s="513"/>
      <c r="ADU45" s="513"/>
      <c r="ADV45" s="513"/>
      <c r="ADW45" s="513"/>
      <c r="ADX45" s="513"/>
      <c r="ADY45" s="513"/>
      <c r="ADZ45" s="513"/>
      <c r="AEA45" s="513"/>
      <c r="AEB45" s="513"/>
      <c r="AEC45" s="513"/>
      <c r="AED45" s="513"/>
      <c r="AEE45" s="513"/>
      <c r="AEF45" s="513"/>
      <c r="AEG45" s="513"/>
      <c r="AEH45" s="513"/>
      <c r="AEI45" s="513"/>
      <c r="AEJ45" s="513"/>
      <c r="AEK45" s="513"/>
      <c r="AEL45" s="513"/>
      <c r="AEM45" s="513"/>
      <c r="AEN45" s="513"/>
      <c r="AEO45" s="513"/>
      <c r="AEP45" s="513"/>
      <c r="AEQ45" s="513"/>
      <c r="AER45" s="513"/>
      <c r="AES45" s="513"/>
      <c r="AET45" s="513"/>
      <c r="AEU45" s="513"/>
      <c r="AEV45" s="513"/>
      <c r="AEW45" s="513"/>
      <c r="AEX45" s="513"/>
      <c r="AEY45" s="513"/>
      <c r="AEZ45" s="513"/>
      <c r="AFA45" s="513"/>
      <c r="AFB45" s="513"/>
      <c r="AFC45" s="513"/>
      <c r="AFD45" s="513"/>
      <c r="AFE45" s="513"/>
      <c r="AFF45" s="513"/>
      <c r="AFG45" s="513"/>
      <c r="AFH45" s="513"/>
      <c r="AFI45" s="513"/>
      <c r="AFJ45" s="513"/>
      <c r="AFK45" s="513"/>
      <c r="AFL45" s="513"/>
      <c r="AFM45" s="513"/>
      <c r="AFN45" s="513"/>
      <c r="AFO45" s="513"/>
      <c r="AFP45" s="513"/>
      <c r="AFQ45" s="513"/>
      <c r="AFR45" s="513"/>
      <c r="AFS45" s="513"/>
      <c r="AFT45" s="513"/>
      <c r="AFU45" s="513"/>
      <c r="AFV45" s="513"/>
      <c r="AFW45" s="513"/>
      <c r="AFX45" s="513"/>
      <c r="AFY45" s="513"/>
      <c r="AFZ45" s="513"/>
      <c r="AGA45" s="513"/>
      <c r="AGB45" s="513"/>
      <c r="AGC45" s="513"/>
      <c r="AGD45" s="513"/>
      <c r="AGE45" s="513"/>
      <c r="AGF45" s="513"/>
      <c r="AGG45" s="513"/>
      <c r="AGH45" s="513"/>
      <c r="AGI45" s="513"/>
      <c r="AGJ45" s="513"/>
      <c r="AGK45" s="513"/>
      <c r="AGL45" s="513"/>
      <c r="AGM45" s="513"/>
      <c r="AGN45" s="513"/>
      <c r="AGO45" s="513"/>
      <c r="AGP45" s="513"/>
      <c r="AGQ45" s="513"/>
      <c r="AGR45" s="513"/>
      <c r="AGS45" s="513"/>
      <c r="AGT45" s="513"/>
      <c r="AGU45" s="513"/>
      <c r="AGV45" s="513"/>
      <c r="AGW45" s="513"/>
      <c r="AGX45" s="513"/>
      <c r="AGY45" s="513"/>
      <c r="AGZ45" s="513"/>
      <c r="AHA45" s="513"/>
      <c r="AHB45" s="513"/>
      <c r="AHC45" s="513"/>
      <c r="AHD45" s="513"/>
      <c r="AHE45" s="513"/>
      <c r="AHF45" s="513"/>
      <c r="AHG45" s="513"/>
      <c r="AHH45" s="513"/>
      <c r="AHI45" s="513"/>
      <c r="AHJ45" s="513"/>
      <c r="AHK45" s="513"/>
      <c r="AHL45" s="513"/>
      <c r="AHM45" s="513"/>
      <c r="AHN45" s="513"/>
      <c r="AHO45" s="513"/>
      <c r="AHP45" s="513"/>
      <c r="AHQ45" s="513"/>
      <c r="AHR45" s="513"/>
      <c r="AHS45" s="513"/>
      <c r="AHT45" s="513"/>
      <c r="AHU45" s="513"/>
      <c r="AHV45" s="513"/>
      <c r="AHW45" s="513"/>
      <c r="AHX45" s="513"/>
      <c r="AHY45" s="513"/>
      <c r="AHZ45" s="513"/>
      <c r="AIA45" s="513"/>
      <c r="AIB45" s="513"/>
      <c r="AIC45" s="513"/>
      <c r="AID45" s="513"/>
      <c r="AIE45" s="513"/>
      <c r="AIF45" s="513"/>
      <c r="AIG45" s="513"/>
      <c r="AIH45" s="513"/>
      <c r="AII45" s="513"/>
      <c r="AIJ45" s="513"/>
      <c r="AIK45" s="513"/>
      <c r="AIL45" s="513"/>
      <c r="AIM45" s="513"/>
      <c r="AIN45" s="513"/>
      <c r="AIO45" s="513"/>
      <c r="AIP45" s="513"/>
      <c r="AIQ45" s="513"/>
      <c r="AIR45" s="513"/>
      <c r="AIS45" s="513"/>
      <c r="AIT45" s="513"/>
      <c r="AIU45" s="513"/>
      <c r="AIV45" s="513"/>
      <c r="AIW45" s="513"/>
      <c r="AIX45" s="513"/>
      <c r="AIY45" s="513"/>
      <c r="AIZ45" s="513"/>
      <c r="AJA45" s="513"/>
      <c r="AJB45" s="513"/>
      <c r="AJC45" s="513"/>
      <c r="AJD45" s="513"/>
      <c r="AJE45" s="513"/>
      <c r="AJF45" s="513"/>
      <c r="AJG45" s="513"/>
      <c r="AJH45" s="513"/>
      <c r="AJI45" s="513"/>
      <c r="AJJ45" s="513"/>
      <c r="AJK45" s="513"/>
      <c r="AJL45" s="513"/>
      <c r="AJM45" s="513"/>
      <c r="AJN45" s="513"/>
      <c r="AJO45" s="513"/>
      <c r="AJP45" s="513"/>
      <c r="AJQ45" s="513"/>
      <c r="AJR45" s="513"/>
      <c r="AJS45" s="513"/>
      <c r="AJT45" s="513"/>
      <c r="AJU45" s="513"/>
      <c r="AJV45" s="513"/>
      <c r="AJW45" s="513"/>
      <c r="AJX45" s="513"/>
      <c r="AJY45" s="513"/>
      <c r="AJZ45" s="513"/>
      <c r="AKA45" s="513"/>
      <c r="AKB45" s="513"/>
      <c r="AKC45" s="513"/>
      <c r="AKD45" s="513"/>
      <c r="AKE45" s="513"/>
      <c r="AKF45" s="513"/>
      <c r="AKG45" s="513"/>
      <c r="AKH45" s="513"/>
      <c r="AKI45" s="513"/>
      <c r="AKJ45" s="513"/>
      <c r="AKK45" s="513"/>
      <c r="AKL45" s="513"/>
      <c r="AKM45" s="513"/>
      <c r="AKN45" s="513"/>
      <c r="AKO45" s="513"/>
      <c r="AKP45" s="513"/>
      <c r="AKQ45" s="513"/>
      <c r="AKR45" s="513"/>
      <c r="AKS45" s="513"/>
      <c r="AKT45" s="513"/>
      <c r="AKU45" s="513"/>
      <c r="AKV45" s="513"/>
      <c r="AKW45" s="513"/>
      <c r="AKX45" s="513"/>
      <c r="AKY45" s="513"/>
      <c r="AKZ45" s="513"/>
      <c r="ALA45" s="513"/>
      <c r="ALB45" s="513"/>
      <c r="ALC45" s="513"/>
      <c r="ALD45" s="513"/>
      <c r="ALE45" s="513"/>
      <c r="ALF45" s="513"/>
      <c r="ALG45" s="513"/>
      <c r="ALH45" s="513"/>
      <c r="ALI45" s="513"/>
      <c r="ALJ45" s="513"/>
      <c r="ALK45" s="513"/>
      <c r="ALL45" s="513"/>
      <c r="ALM45" s="513"/>
      <c r="ALN45" s="513"/>
      <c r="ALO45" s="513"/>
      <c r="ALP45" s="513"/>
      <c r="ALQ45" s="513"/>
      <c r="ALR45" s="513"/>
      <c r="ALS45" s="513"/>
      <c r="ALT45" s="513"/>
      <c r="ALU45" s="513"/>
      <c r="ALV45" s="513"/>
      <c r="ALW45" s="513"/>
      <c r="ALX45" s="513"/>
      <c r="ALY45" s="513"/>
      <c r="ALZ45" s="513"/>
      <c r="AMA45" s="513"/>
      <c r="AMB45" s="513"/>
      <c r="AMC45" s="513"/>
      <c r="AMD45" s="513"/>
      <c r="AME45" s="513"/>
      <c r="AMF45" s="513"/>
      <c r="AMG45" s="513"/>
      <c r="AMH45" s="513"/>
      <c r="AMI45" s="513"/>
      <c r="AMJ45" s="513"/>
      <c r="AMK45" s="513"/>
    </row>
    <row r="46" spans="1:1025" ht="15.95" customHeight="1" x14ac:dyDescent="0.25">
      <c r="A46" s="524">
        <f t="shared" si="6"/>
        <v>3</v>
      </c>
      <c r="B46" s="525" t="str">
        <f t="shared" si="6"/>
        <v>Auxiliar de limpeza - Fórum Eleitoral de MARINGÁ</v>
      </c>
      <c r="C46" s="526">
        <f>'POSTOS e RESUMO'!H22/21</f>
        <v>21.009523809523809</v>
      </c>
      <c r="D46" s="527">
        <f t="shared" si="7"/>
        <v>7.3533333333333326</v>
      </c>
      <c r="E46" s="528">
        <f t="shared" si="8"/>
        <v>28.36</v>
      </c>
      <c r="F46" s="1310"/>
      <c r="G46" s="529"/>
      <c r="H46" s="529"/>
      <c r="I46" s="529"/>
      <c r="J46" s="531"/>
      <c r="K46" s="531"/>
      <c r="L46" s="531"/>
      <c r="M46" s="531"/>
      <c r="N46" s="531"/>
      <c r="O46" s="531"/>
      <c r="P46" s="531"/>
      <c r="Q46" s="531"/>
      <c r="R46" s="512"/>
      <c r="S46" s="513"/>
      <c r="T46" s="513"/>
      <c r="U46" s="513"/>
      <c r="V46" s="513"/>
      <c r="W46" s="513"/>
      <c r="X46" s="513"/>
      <c r="Y46" s="513"/>
      <c r="Z46" s="513"/>
      <c r="AA46" s="513"/>
      <c r="AB46" s="513"/>
      <c r="AC46" s="513"/>
      <c r="AD46" s="513"/>
      <c r="AE46" s="513"/>
      <c r="AF46" s="513"/>
      <c r="AG46" s="513"/>
      <c r="AH46" s="513"/>
      <c r="AI46" s="513"/>
      <c r="AJ46" s="513"/>
      <c r="AK46" s="513"/>
      <c r="AL46" s="513"/>
      <c r="AM46" s="513"/>
      <c r="AN46" s="513"/>
      <c r="AO46" s="513"/>
      <c r="AP46" s="513"/>
      <c r="AQ46" s="513"/>
      <c r="AR46" s="513"/>
      <c r="AS46" s="513"/>
      <c r="AT46" s="513"/>
      <c r="AU46" s="513"/>
      <c r="AV46" s="513"/>
      <c r="AW46" s="513"/>
      <c r="AX46" s="513"/>
      <c r="AY46" s="513"/>
      <c r="AZ46" s="513"/>
      <c r="BA46" s="513"/>
      <c r="BB46" s="513"/>
      <c r="BC46" s="513"/>
      <c r="BD46" s="513"/>
      <c r="BE46" s="513"/>
      <c r="BF46" s="513"/>
      <c r="BG46" s="513"/>
      <c r="BH46" s="513"/>
      <c r="BI46" s="513"/>
      <c r="BJ46" s="513"/>
      <c r="BK46" s="513"/>
      <c r="BL46" s="513"/>
      <c r="BM46" s="513"/>
      <c r="BN46" s="513"/>
      <c r="BO46" s="513"/>
      <c r="BP46" s="513"/>
      <c r="BQ46" s="513"/>
      <c r="BR46" s="513"/>
      <c r="BS46" s="513"/>
      <c r="BT46" s="513"/>
      <c r="BU46" s="513"/>
      <c r="BV46" s="513"/>
      <c r="BW46" s="513"/>
      <c r="BX46" s="513"/>
      <c r="BY46" s="513"/>
      <c r="BZ46" s="513"/>
      <c r="CA46" s="513"/>
      <c r="CB46" s="513"/>
      <c r="CC46" s="513"/>
      <c r="CD46" s="513"/>
      <c r="CE46" s="513"/>
      <c r="CF46" s="513"/>
      <c r="CG46" s="513"/>
      <c r="CH46" s="513"/>
      <c r="CI46" s="513"/>
      <c r="CJ46" s="513"/>
      <c r="CK46" s="513"/>
      <c r="CL46" s="513"/>
      <c r="CM46" s="513"/>
      <c r="CN46" s="513"/>
      <c r="CO46" s="513"/>
      <c r="CP46" s="513"/>
      <c r="CQ46" s="513"/>
      <c r="CR46" s="513"/>
      <c r="CS46" s="513"/>
      <c r="CT46" s="513"/>
      <c r="CU46" s="513"/>
      <c r="CV46" s="513"/>
      <c r="CW46" s="513"/>
      <c r="CX46" s="513"/>
      <c r="CY46" s="513"/>
      <c r="CZ46" s="513"/>
      <c r="DA46" s="513"/>
      <c r="DB46" s="513"/>
      <c r="DC46" s="513"/>
      <c r="DD46" s="513"/>
      <c r="DE46" s="513"/>
      <c r="DF46" s="513"/>
      <c r="DG46" s="513"/>
      <c r="DH46" s="513"/>
      <c r="DI46" s="513"/>
      <c r="DJ46" s="513"/>
      <c r="DK46" s="513"/>
      <c r="DL46" s="513"/>
      <c r="DM46" s="513"/>
      <c r="DN46" s="513"/>
      <c r="DO46" s="513"/>
      <c r="DP46" s="513"/>
      <c r="DQ46" s="513"/>
      <c r="DR46" s="513"/>
      <c r="DS46" s="513"/>
      <c r="DT46" s="513"/>
      <c r="DU46" s="513"/>
      <c r="DV46" s="513"/>
      <c r="DW46" s="513"/>
      <c r="DX46" s="513"/>
      <c r="DY46" s="513"/>
      <c r="DZ46" s="513"/>
      <c r="EA46" s="513"/>
      <c r="EB46" s="513"/>
      <c r="EC46" s="513"/>
      <c r="ED46" s="513"/>
      <c r="EE46" s="513"/>
      <c r="EF46" s="513"/>
      <c r="EG46" s="513"/>
      <c r="EH46" s="513"/>
      <c r="EI46" s="513"/>
      <c r="EJ46" s="513"/>
      <c r="EK46" s="513"/>
      <c r="EL46" s="513"/>
      <c r="EM46" s="513"/>
      <c r="EN46" s="513"/>
      <c r="EO46" s="513"/>
      <c r="EP46" s="513"/>
      <c r="EQ46" s="513"/>
      <c r="ER46" s="513"/>
      <c r="ES46" s="513"/>
      <c r="ET46" s="513"/>
      <c r="EU46" s="513"/>
      <c r="EV46" s="513"/>
      <c r="EW46" s="513"/>
      <c r="EX46" s="513"/>
      <c r="EY46" s="513"/>
      <c r="EZ46" s="513"/>
      <c r="FA46" s="513"/>
      <c r="FB46" s="513"/>
      <c r="FC46" s="513"/>
      <c r="FD46" s="513"/>
      <c r="FE46" s="513"/>
      <c r="FF46" s="513"/>
      <c r="FG46" s="513"/>
      <c r="FH46" s="513"/>
      <c r="FI46" s="513"/>
      <c r="FJ46" s="513"/>
      <c r="FK46" s="513"/>
      <c r="FL46" s="513"/>
      <c r="FM46" s="513"/>
      <c r="FN46" s="513"/>
      <c r="FO46" s="513"/>
      <c r="FP46" s="513"/>
      <c r="FQ46" s="513"/>
      <c r="FR46" s="513"/>
      <c r="FS46" s="513"/>
      <c r="FT46" s="513"/>
      <c r="FU46" s="513"/>
      <c r="FV46" s="513"/>
      <c r="FW46" s="513"/>
      <c r="FX46" s="513"/>
      <c r="FY46" s="513"/>
      <c r="FZ46" s="513"/>
      <c r="GA46" s="513"/>
      <c r="GB46" s="513"/>
      <c r="GC46" s="513"/>
      <c r="GD46" s="513"/>
      <c r="GE46" s="513"/>
      <c r="GF46" s="513"/>
      <c r="GG46" s="513"/>
      <c r="GH46" s="513"/>
      <c r="GI46" s="513"/>
      <c r="GJ46" s="513"/>
      <c r="GK46" s="513"/>
      <c r="GL46" s="513"/>
      <c r="GM46" s="513"/>
      <c r="GN46" s="513"/>
      <c r="GO46" s="513"/>
      <c r="GP46" s="513"/>
      <c r="GQ46" s="513"/>
      <c r="GR46" s="513"/>
      <c r="GS46" s="513"/>
      <c r="GT46" s="513"/>
      <c r="GU46" s="513"/>
      <c r="GV46" s="513"/>
      <c r="GW46" s="513"/>
      <c r="GX46" s="513"/>
      <c r="GY46" s="513"/>
      <c r="GZ46" s="513"/>
      <c r="HA46" s="513"/>
      <c r="HB46" s="513"/>
      <c r="HC46" s="513"/>
      <c r="HD46" s="513"/>
      <c r="HE46" s="513"/>
      <c r="HF46" s="513"/>
      <c r="HG46" s="513"/>
      <c r="HH46" s="513"/>
      <c r="HI46" s="513"/>
      <c r="HJ46" s="513"/>
      <c r="HK46" s="513"/>
      <c r="HL46" s="513"/>
      <c r="HM46" s="513"/>
      <c r="HN46" s="513"/>
      <c r="HO46" s="513"/>
      <c r="HP46" s="513"/>
      <c r="HQ46" s="513"/>
      <c r="HR46" s="513"/>
      <c r="HS46" s="513"/>
      <c r="HT46" s="513"/>
      <c r="HU46" s="513"/>
      <c r="HV46" s="513"/>
      <c r="HW46" s="513"/>
      <c r="HX46" s="513"/>
      <c r="HY46" s="513"/>
      <c r="HZ46" s="513"/>
      <c r="IA46" s="513"/>
      <c r="IB46" s="513"/>
      <c r="IC46" s="513"/>
      <c r="ID46" s="513"/>
      <c r="IE46" s="513"/>
      <c r="IF46" s="513"/>
      <c r="IG46" s="513"/>
      <c r="IH46" s="513"/>
      <c r="II46" s="513"/>
      <c r="IJ46" s="513"/>
      <c r="IK46" s="513"/>
      <c r="IL46" s="513"/>
      <c r="IM46" s="513"/>
      <c r="IN46" s="513"/>
      <c r="IO46" s="513"/>
      <c r="IP46" s="513"/>
      <c r="IQ46" s="513"/>
      <c r="IR46" s="513"/>
      <c r="IS46" s="513"/>
      <c r="IT46" s="513"/>
      <c r="IU46" s="513"/>
      <c r="IV46" s="513"/>
      <c r="IW46" s="513"/>
      <c r="IX46" s="513"/>
      <c r="IY46" s="513"/>
      <c r="IZ46" s="513"/>
      <c r="JA46" s="513"/>
      <c r="JB46" s="513"/>
      <c r="JC46" s="513"/>
      <c r="JD46" s="513"/>
      <c r="JE46" s="513"/>
      <c r="JF46" s="513"/>
      <c r="JG46" s="513"/>
      <c r="JH46" s="513"/>
      <c r="JI46" s="513"/>
      <c r="JJ46" s="513"/>
      <c r="JK46" s="513"/>
      <c r="JL46" s="513"/>
      <c r="JM46" s="513"/>
      <c r="JN46" s="513"/>
      <c r="JO46" s="513"/>
      <c r="JP46" s="513"/>
      <c r="JQ46" s="513"/>
      <c r="JR46" s="513"/>
      <c r="JS46" s="513"/>
      <c r="JT46" s="513"/>
      <c r="JU46" s="513"/>
      <c r="JV46" s="513"/>
      <c r="JW46" s="513"/>
      <c r="JX46" s="513"/>
      <c r="JY46" s="513"/>
      <c r="JZ46" s="513"/>
      <c r="KA46" s="513"/>
      <c r="KB46" s="513"/>
      <c r="KC46" s="513"/>
      <c r="KD46" s="513"/>
      <c r="KE46" s="513"/>
      <c r="KF46" s="513"/>
      <c r="KG46" s="513"/>
      <c r="KH46" s="513"/>
      <c r="KI46" s="513"/>
      <c r="KJ46" s="513"/>
      <c r="KK46" s="513"/>
      <c r="KL46" s="513"/>
      <c r="KM46" s="513"/>
      <c r="KN46" s="513"/>
      <c r="KO46" s="513"/>
      <c r="KP46" s="513"/>
      <c r="KQ46" s="513"/>
      <c r="KR46" s="513"/>
      <c r="KS46" s="513"/>
      <c r="KT46" s="513"/>
      <c r="KU46" s="513"/>
      <c r="KV46" s="513"/>
      <c r="KW46" s="513"/>
      <c r="KX46" s="513"/>
      <c r="KY46" s="513"/>
      <c r="KZ46" s="513"/>
      <c r="LA46" s="513"/>
      <c r="LB46" s="513"/>
      <c r="LC46" s="513"/>
      <c r="LD46" s="513"/>
      <c r="LE46" s="513"/>
      <c r="LF46" s="513"/>
      <c r="LG46" s="513"/>
      <c r="LH46" s="513"/>
      <c r="LI46" s="513"/>
      <c r="LJ46" s="513"/>
      <c r="LK46" s="513"/>
      <c r="LL46" s="513"/>
      <c r="LM46" s="513"/>
      <c r="LN46" s="513"/>
      <c r="LO46" s="513"/>
      <c r="LP46" s="513"/>
      <c r="LQ46" s="513"/>
      <c r="LR46" s="513"/>
      <c r="LS46" s="513"/>
      <c r="LT46" s="513"/>
      <c r="LU46" s="513"/>
      <c r="LV46" s="513"/>
      <c r="LW46" s="513"/>
      <c r="LX46" s="513"/>
      <c r="LY46" s="513"/>
      <c r="LZ46" s="513"/>
      <c r="MA46" s="513"/>
      <c r="MB46" s="513"/>
      <c r="MC46" s="513"/>
      <c r="MD46" s="513"/>
      <c r="ME46" s="513"/>
      <c r="MF46" s="513"/>
      <c r="MG46" s="513"/>
      <c r="MH46" s="513"/>
      <c r="MI46" s="513"/>
      <c r="MJ46" s="513"/>
      <c r="MK46" s="513"/>
      <c r="ML46" s="513"/>
      <c r="MM46" s="513"/>
      <c r="MN46" s="513"/>
      <c r="MO46" s="513"/>
      <c r="MP46" s="513"/>
      <c r="MQ46" s="513"/>
      <c r="MR46" s="513"/>
      <c r="MS46" s="513"/>
      <c r="MT46" s="513"/>
      <c r="MU46" s="513"/>
      <c r="MV46" s="513"/>
      <c r="MW46" s="513"/>
      <c r="MX46" s="513"/>
      <c r="MY46" s="513"/>
      <c r="MZ46" s="513"/>
      <c r="NA46" s="513"/>
      <c r="NB46" s="513"/>
      <c r="NC46" s="513"/>
      <c r="ND46" s="513"/>
      <c r="NE46" s="513"/>
      <c r="NF46" s="513"/>
      <c r="NG46" s="513"/>
      <c r="NH46" s="513"/>
      <c r="NI46" s="513"/>
      <c r="NJ46" s="513"/>
      <c r="NK46" s="513"/>
      <c r="NL46" s="513"/>
      <c r="NM46" s="513"/>
      <c r="NN46" s="513"/>
      <c r="NO46" s="513"/>
      <c r="NP46" s="513"/>
      <c r="NQ46" s="513"/>
      <c r="NR46" s="513"/>
      <c r="NS46" s="513"/>
      <c r="NT46" s="513"/>
      <c r="NU46" s="513"/>
      <c r="NV46" s="513"/>
      <c r="NW46" s="513"/>
      <c r="NX46" s="513"/>
      <c r="NY46" s="513"/>
      <c r="NZ46" s="513"/>
      <c r="OA46" s="513"/>
      <c r="OB46" s="513"/>
      <c r="OC46" s="513"/>
      <c r="OD46" s="513"/>
      <c r="OE46" s="513"/>
      <c r="OF46" s="513"/>
      <c r="OG46" s="513"/>
      <c r="OH46" s="513"/>
      <c r="OI46" s="513"/>
      <c r="OJ46" s="513"/>
      <c r="OK46" s="513"/>
      <c r="OL46" s="513"/>
      <c r="OM46" s="513"/>
      <c r="ON46" s="513"/>
      <c r="OO46" s="513"/>
      <c r="OP46" s="513"/>
      <c r="OQ46" s="513"/>
      <c r="OR46" s="513"/>
      <c r="OS46" s="513"/>
      <c r="OT46" s="513"/>
      <c r="OU46" s="513"/>
      <c r="OV46" s="513"/>
      <c r="OW46" s="513"/>
      <c r="OX46" s="513"/>
      <c r="OY46" s="513"/>
      <c r="OZ46" s="513"/>
      <c r="PA46" s="513"/>
      <c r="PB46" s="513"/>
      <c r="PC46" s="513"/>
      <c r="PD46" s="513"/>
      <c r="PE46" s="513"/>
      <c r="PF46" s="513"/>
      <c r="PG46" s="513"/>
      <c r="PH46" s="513"/>
      <c r="PI46" s="513"/>
      <c r="PJ46" s="513"/>
      <c r="PK46" s="513"/>
      <c r="PL46" s="513"/>
      <c r="PM46" s="513"/>
      <c r="PN46" s="513"/>
      <c r="PO46" s="513"/>
      <c r="PP46" s="513"/>
      <c r="PQ46" s="513"/>
      <c r="PR46" s="513"/>
      <c r="PS46" s="513"/>
      <c r="PT46" s="513"/>
      <c r="PU46" s="513"/>
      <c r="PV46" s="513"/>
      <c r="PW46" s="513"/>
      <c r="PX46" s="513"/>
      <c r="PY46" s="513"/>
      <c r="PZ46" s="513"/>
      <c r="QA46" s="513"/>
      <c r="QB46" s="513"/>
      <c r="QC46" s="513"/>
      <c r="QD46" s="513"/>
      <c r="QE46" s="513"/>
      <c r="QF46" s="513"/>
      <c r="QG46" s="513"/>
      <c r="QH46" s="513"/>
      <c r="QI46" s="513"/>
      <c r="QJ46" s="513"/>
      <c r="QK46" s="513"/>
      <c r="QL46" s="513"/>
      <c r="QM46" s="513"/>
      <c r="QN46" s="513"/>
      <c r="QO46" s="513"/>
      <c r="QP46" s="513"/>
      <c r="QQ46" s="513"/>
      <c r="QR46" s="513"/>
      <c r="QS46" s="513"/>
      <c r="QT46" s="513"/>
      <c r="QU46" s="513"/>
      <c r="QV46" s="513"/>
      <c r="QW46" s="513"/>
      <c r="QX46" s="513"/>
      <c r="QY46" s="513"/>
      <c r="QZ46" s="513"/>
      <c r="RA46" s="513"/>
      <c r="RB46" s="513"/>
      <c r="RC46" s="513"/>
      <c r="RD46" s="513"/>
      <c r="RE46" s="513"/>
      <c r="RF46" s="513"/>
      <c r="RG46" s="513"/>
      <c r="RH46" s="513"/>
      <c r="RI46" s="513"/>
      <c r="RJ46" s="513"/>
      <c r="RK46" s="513"/>
      <c r="RL46" s="513"/>
      <c r="RM46" s="513"/>
      <c r="RN46" s="513"/>
      <c r="RO46" s="513"/>
      <c r="RP46" s="513"/>
      <c r="RQ46" s="513"/>
      <c r="RR46" s="513"/>
      <c r="RS46" s="513"/>
      <c r="RT46" s="513"/>
      <c r="RU46" s="513"/>
      <c r="RV46" s="513"/>
      <c r="RW46" s="513"/>
      <c r="RX46" s="513"/>
      <c r="RY46" s="513"/>
      <c r="RZ46" s="513"/>
      <c r="SA46" s="513"/>
      <c r="SB46" s="513"/>
      <c r="SC46" s="513"/>
      <c r="SD46" s="513"/>
      <c r="SE46" s="513"/>
      <c r="SF46" s="513"/>
      <c r="SG46" s="513"/>
      <c r="SH46" s="513"/>
      <c r="SI46" s="513"/>
      <c r="SJ46" s="513"/>
      <c r="SK46" s="513"/>
      <c r="SL46" s="513"/>
      <c r="SM46" s="513"/>
      <c r="SN46" s="513"/>
      <c r="SO46" s="513"/>
      <c r="SP46" s="513"/>
      <c r="SQ46" s="513"/>
      <c r="SR46" s="513"/>
      <c r="SS46" s="513"/>
      <c r="ST46" s="513"/>
      <c r="SU46" s="513"/>
      <c r="SV46" s="513"/>
      <c r="SW46" s="513"/>
      <c r="SX46" s="513"/>
      <c r="SY46" s="513"/>
      <c r="SZ46" s="513"/>
      <c r="TA46" s="513"/>
      <c r="TB46" s="513"/>
      <c r="TC46" s="513"/>
      <c r="TD46" s="513"/>
      <c r="TE46" s="513"/>
      <c r="TF46" s="513"/>
      <c r="TG46" s="513"/>
      <c r="TH46" s="513"/>
      <c r="TI46" s="513"/>
      <c r="TJ46" s="513"/>
      <c r="TK46" s="513"/>
      <c r="TL46" s="513"/>
      <c r="TM46" s="513"/>
      <c r="TN46" s="513"/>
      <c r="TO46" s="513"/>
      <c r="TP46" s="513"/>
      <c r="TQ46" s="513"/>
      <c r="TR46" s="513"/>
      <c r="TS46" s="513"/>
      <c r="TT46" s="513"/>
      <c r="TU46" s="513"/>
      <c r="TV46" s="513"/>
      <c r="TW46" s="513"/>
      <c r="TX46" s="513"/>
      <c r="TY46" s="513"/>
      <c r="TZ46" s="513"/>
      <c r="UA46" s="513"/>
      <c r="UB46" s="513"/>
      <c r="UC46" s="513"/>
      <c r="UD46" s="513"/>
      <c r="UE46" s="513"/>
      <c r="UF46" s="513"/>
      <c r="UG46" s="513"/>
      <c r="UH46" s="513"/>
      <c r="UI46" s="513"/>
      <c r="UJ46" s="513"/>
      <c r="UK46" s="513"/>
      <c r="UL46" s="513"/>
      <c r="UM46" s="513"/>
      <c r="UN46" s="513"/>
      <c r="UO46" s="513"/>
      <c r="UP46" s="513"/>
      <c r="UQ46" s="513"/>
      <c r="UR46" s="513"/>
      <c r="US46" s="513"/>
      <c r="UT46" s="513"/>
      <c r="UU46" s="513"/>
      <c r="UV46" s="513"/>
      <c r="UW46" s="513"/>
      <c r="UX46" s="513"/>
      <c r="UY46" s="513"/>
      <c r="UZ46" s="513"/>
      <c r="VA46" s="513"/>
      <c r="VB46" s="513"/>
      <c r="VC46" s="513"/>
      <c r="VD46" s="513"/>
      <c r="VE46" s="513"/>
      <c r="VF46" s="513"/>
      <c r="VG46" s="513"/>
      <c r="VH46" s="513"/>
      <c r="VI46" s="513"/>
      <c r="VJ46" s="513"/>
      <c r="VK46" s="513"/>
      <c r="VL46" s="513"/>
      <c r="VM46" s="513"/>
      <c r="VN46" s="513"/>
      <c r="VO46" s="513"/>
      <c r="VP46" s="513"/>
      <c r="VQ46" s="513"/>
      <c r="VR46" s="513"/>
      <c r="VS46" s="513"/>
      <c r="VT46" s="513"/>
      <c r="VU46" s="513"/>
      <c r="VV46" s="513"/>
      <c r="VW46" s="513"/>
      <c r="VX46" s="513"/>
      <c r="VY46" s="513"/>
      <c r="VZ46" s="513"/>
      <c r="WA46" s="513"/>
      <c r="WB46" s="513"/>
      <c r="WC46" s="513"/>
      <c r="WD46" s="513"/>
      <c r="WE46" s="513"/>
      <c r="WF46" s="513"/>
      <c r="WG46" s="513"/>
      <c r="WH46" s="513"/>
      <c r="WI46" s="513"/>
      <c r="WJ46" s="513"/>
      <c r="WK46" s="513"/>
      <c r="WL46" s="513"/>
      <c r="WM46" s="513"/>
      <c r="WN46" s="513"/>
      <c r="WO46" s="513"/>
      <c r="WP46" s="513"/>
      <c r="WQ46" s="513"/>
      <c r="WR46" s="513"/>
      <c r="WS46" s="513"/>
      <c r="WT46" s="513"/>
      <c r="WU46" s="513"/>
      <c r="WV46" s="513"/>
      <c r="WW46" s="513"/>
      <c r="WX46" s="513"/>
      <c r="WY46" s="513"/>
      <c r="WZ46" s="513"/>
      <c r="XA46" s="513"/>
      <c r="XB46" s="513"/>
      <c r="XC46" s="513"/>
      <c r="XD46" s="513"/>
      <c r="XE46" s="513"/>
      <c r="XF46" s="513"/>
      <c r="XG46" s="513"/>
      <c r="XH46" s="513"/>
      <c r="XI46" s="513"/>
      <c r="XJ46" s="513"/>
      <c r="XK46" s="513"/>
      <c r="XL46" s="513"/>
      <c r="XM46" s="513"/>
      <c r="XN46" s="513"/>
      <c r="XO46" s="513"/>
      <c r="XP46" s="513"/>
      <c r="XQ46" s="513"/>
      <c r="XR46" s="513"/>
      <c r="XS46" s="513"/>
      <c r="XT46" s="513"/>
      <c r="XU46" s="513"/>
      <c r="XV46" s="513"/>
      <c r="XW46" s="513"/>
      <c r="XX46" s="513"/>
      <c r="XY46" s="513"/>
      <c r="XZ46" s="513"/>
      <c r="YA46" s="513"/>
      <c r="YB46" s="513"/>
      <c r="YC46" s="513"/>
      <c r="YD46" s="513"/>
      <c r="YE46" s="513"/>
      <c r="YF46" s="513"/>
      <c r="YG46" s="513"/>
      <c r="YH46" s="513"/>
      <c r="YI46" s="513"/>
      <c r="YJ46" s="513"/>
      <c r="YK46" s="513"/>
      <c r="YL46" s="513"/>
      <c r="YM46" s="513"/>
      <c r="YN46" s="513"/>
      <c r="YO46" s="513"/>
      <c r="YP46" s="513"/>
      <c r="YQ46" s="513"/>
      <c r="YR46" s="513"/>
      <c r="YS46" s="513"/>
      <c r="YT46" s="513"/>
      <c r="YU46" s="513"/>
      <c r="YV46" s="513"/>
      <c r="YW46" s="513"/>
      <c r="YX46" s="513"/>
      <c r="YY46" s="513"/>
      <c r="YZ46" s="513"/>
      <c r="ZA46" s="513"/>
      <c r="ZB46" s="513"/>
      <c r="ZC46" s="513"/>
      <c r="ZD46" s="513"/>
      <c r="ZE46" s="513"/>
      <c r="ZF46" s="513"/>
      <c r="ZG46" s="513"/>
      <c r="ZH46" s="513"/>
      <c r="ZI46" s="513"/>
      <c r="ZJ46" s="513"/>
      <c r="ZK46" s="513"/>
      <c r="ZL46" s="513"/>
      <c r="ZM46" s="513"/>
      <c r="ZN46" s="513"/>
      <c r="ZO46" s="513"/>
      <c r="ZP46" s="513"/>
      <c r="ZQ46" s="513"/>
      <c r="ZR46" s="513"/>
      <c r="ZS46" s="513"/>
      <c r="ZT46" s="513"/>
      <c r="ZU46" s="513"/>
      <c r="ZV46" s="513"/>
      <c r="ZW46" s="513"/>
      <c r="ZX46" s="513"/>
      <c r="ZY46" s="513"/>
      <c r="ZZ46" s="513"/>
      <c r="AAA46" s="513"/>
      <c r="AAB46" s="513"/>
      <c r="AAC46" s="513"/>
      <c r="AAD46" s="513"/>
      <c r="AAE46" s="513"/>
      <c r="AAF46" s="513"/>
      <c r="AAG46" s="513"/>
      <c r="AAH46" s="513"/>
      <c r="AAI46" s="513"/>
      <c r="AAJ46" s="513"/>
      <c r="AAK46" s="513"/>
      <c r="AAL46" s="513"/>
      <c r="AAM46" s="513"/>
      <c r="AAN46" s="513"/>
      <c r="AAO46" s="513"/>
      <c r="AAP46" s="513"/>
      <c r="AAQ46" s="513"/>
      <c r="AAR46" s="513"/>
      <c r="AAS46" s="513"/>
      <c r="AAT46" s="513"/>
      <c r="AAU46" s="513"/>
      <c r="AAV46" s="513"/>
      <c r="AAW46" s="513"/>
      <c r="AAX46" s="513"/>
      <c r="AAY46" s="513"/>
      <c r="AAZ46" s="513"/>
      <c r="ABA46" s="513"/>
      <c r="ABB46" s="513"/>
      <c r="ABC46" s="513"/>
      <c r="ABD46" s="513"/>
      <c r="ABE46" s="513"/>
      <c r="ABF46" s="513"/>
      <c r="ABG46" s="513"/>
      <c r="ABH46" s="513"/>
      <c r="ABI46" s="513"/>
      <c r="ABJ46" s="513"/>
      <c r="ABK46" s="513"/>
      <c r="ABL46" s="513"/>
      <c r="ABM46" s="513"/>
      <c r="ABN46" s="513"/>
      <c r="ABO46" s="513"/>
      <c r="ABP46" s="513"/>
      <c r="ABQ46" s="513"/>
      <c r="ABR46" s="513"/>
      <c r="ABS46" s="513"/>
      <c r="ABT46" s="513"/>
      <c r="ABU46" s="513"/>
      <c r="ABV46" s="513"/>
      <c r="ABW46" s="513"/>
      <c r="ABX46" s="513"/>
      <c r="ABY46" s="513"/>
      <c r="ABZ46" s="513"/>
      <c r="ACA46" s="513"/>
      <c r="ACB46" s="513"/>
      <c r="ACC46" s="513"/>
      <c r="ACD46" s="513"/>
      <c r="ACE46" s="513"/>
      <c r="ACF46" s="513"/>
      <c r="ACG46" s="513"/>
      <c r="ACH46" s="513"/>
      <c r="ACI46" s="513"/>
      <c r="ACJ46" s="513"/>
      <c r="ACK46" s="513"/>
      <c r="ACL46" s="513"/>
      <c r="ACM46" s="513"/>
      <c r="ACN46" s="513"/>
      <c r="ACO46" s="513"/>
      <c r="ACP46" s="513"/>
      <c r="ACQ46" s="513"/>
      <c r="ACR46" s="513"/>
      <c r="ACS46" s="513"/>
      <c r="ACT46" s="513"/>
      <c r="ACU46" s="513"/>
      <c r="ACV46" s="513"/>
      <c r="ACW46" s="513"/>
      <c r="ACX46" s="513"/>
      <c r="ACY46" s="513"/>
      <c r="ACZ46" s="513"/>
      <c r="ADA46" s="513"/>
      <c r="ADB46" s="513"/>
      <c r="ADC46" s="513"/>
      <c r="ADD46" s="513"/>
      <c r="ADE46" s="513"/>
      <c r="ADF46" s="513"/>
      <c r="ADG46" s="513"/>
      <c r="ADH46" s="513"/>
      <c r="ADI46" s="513"/>
      <c r="ADJ46" s="513"/>
      <c r="ADK46" s="513"/>
      <c r="ADL46" s="513"/>
      <c r="ADM46" s="513"/>
      <c r="ADN46" s="513"/>
      <c r="ADO46" s="513"/>
      <c r="ADP46" s="513"/>
      <c r="ADQ46" s="513"/>
      <c r="ADR46" s="513"/>
      <c r="ADS46" s="513"/>
      <c r="ADT46" s="513"/>
      <c r="ADU46" s="513"/>
      <c r="ADV46" s="513"/>
      <c r="ADW46" s="513"/>
      <c r="ADX46" s="513"/>
      <c r="ADY46" s="513"/>
      <c r="ADZ46" s="513"/>
      <c r="AEA46" s="513"/>
      <c r="AEB46" s="513"/>
      <c r="AEC46" s="513"/>
      <c r="AED46" s="513"/>
      <c r="AEE46" s="513"/>
      <c r="AEF46" s="513"/>
      <c r="AEG46" s="513"/>
      <c r="AEH46" s="513"/>
      <c r="AEI46" s="513"/>
      <c r="AEJ46" s="513"/>
      <c r="AEK46" s="513"/>
      <c r="AEL46" s="513"/>
      <c r="AEM46" s="513"/>
      <c r="AEN46" s="513"/>
      <c r="AEO46" s="513"/>
      <c r="AEP46" s="513"/>
      <c r="AEQ46" s="513"/>
      <c r="AER46" s="513"/>
      <c r="AES46" s="513"/>
      <c r="AET46" s="513"/>
      <c r="AEU46" s="513"/>
      <c r="AEV46" s="513"/>
      <c r="AEW46" s="513"/>
      <c r="AEX46" s="513"/>
      <c r="AEY46" s="513"/>
      <c r="AEZ46" s="513"/>
      <c r="AFA46" s="513"/>
      <c r="AFB46" s="513"/>
      <c r="AFC46" s="513"/>
      <c r="AFD46" s="513"/>
      <c r="AFE46" s="513"/>
      <c r="AFF46" s="513"/>
      <c r="AFG46" s="513"/>
      <c r="AFH46" s="513"/>
      <c r="AFI46" s="513"/>
      <c r="AFJ46" s="513"/>
      <c r="AFK46" s="513"/>
      <c r="AFL46" s="513"/>
      <c r="AFM46" s="513"/>
      <c r="AFN46" s="513"/>
      <c r="AFO46" s="513"/>
      <c r="AFP46" s="513"/>
      <c r="AFQ46" s="513"/>
      <c r="AFR46" s="513"/>
      <c r="AFS46" s="513"/>
      <c r="AFT46" s="513"/>
      <c r="AFU46" s="513"/>
      <c r="AFV46" s="513"/>
      <c r="AFW46" s="513"/>
      <c r="AFX46" s="513"/>
      <c r="AFY46" s="513"/>
      <c r="AFZ46" s="513"/>
      <c r="AGA46" s="513"/>
      <c r="AGB46" s="513"/>
      <c r="AGC46" s="513"/>
      <c r="AGD46" s="513"/>
      <c r="AGE46" s="513"/>
      <c r="AGF46" s="513"/>
      <c r="AGG46" s="513"/>
      <c r="AGH46" s="513"/>
      <c r="AGI46" s="513"/>
      <c r="AGJ46" s="513"/>
      <c r="AGK46" s="513"/>
      <c r="AGL46" s="513"/>
      <c r="AGM46" s="513"/>
      <c r="AGN46" s="513"/>
      <c r="AGO46" s="513"/>
      <c r="AGP46" s="513"/>
      <c r="AGQ46" s="513"/>
      <c r="AGR46" s="513"/>
      <c r="AGS46" s="513"/>
      <c r="AGT46" s="513"/>
      <c r="AGU46" s="513"/>
      <c r="AGV46" s="513"/>
      <c r="AGW46" s="513"/>
      <c r="AGX46" s="513"/>
      <c r="AGY46" s="513"/>
      <c r="AGZ46" s="513"/>
      <c r="AHA46" s="513"/>
      <c r="AHB46" s="513"/>
      <c r="AHC46" s="513"/>
      <c r="AHD46" s="513"/>
      <c r="AHE46" s="513"/>
      <c r="AHF46" s="513"/>
      <c r="AHG46" s="513"/>
      <c r="AHH46" s="513"/>
      <c r="AHI46" s="513"/>
      <c r="AHJ46" s="513"/>
      <c r="AHK46" s="513"/>
      <c r="AHL46" s="513"/>
      <c r="AHM46" s="513"/>
      <c r="AHN46" s="513"/>
      <c r="AHO46" s="513"/>
      <c r="AHP46" s="513"/>
      <c r="AHQ46" s="513"/>
      <c r="AHR46" s="513"/>
      <c r="AHS46" s="513"/>
      <c r="AHT46" s="513"/>
      <c r="AHU46" s="513"/>
      <c r="AHV46" s="513"/>
      <c r="AHW46" s="513"/>
      <c r="AHX46" s="513"/>
      <c r="AHY46" s="513"/>
      <c r="AHZ46" s="513"/>
      <c r="AIA46" s="513"/>
      <c r="AIB46" s="513"/>
      <c r="AIC46" s="513"/>
      <c r="AID46" s="513"/>
      <c r="AIE46" s="513"/>
      <c r="AIF46" s="513"/>
      <c r="AIG46" s="513"/>
      <c r="AIH46" s="513"/>
      <c r="AII46" s="513"/>
      <c r="AIJ46" s="513"/>
      <c r="AIK46" s="513"/>
      <c r="AIL46" s="513"/>
      <c r="AIM46" s="513"/>
      <c r="AIN46" s="513"/>
      <c r="AIO46" s="513"/>
      <c r="AIP46" s="513"/>
      <c r="AIQ46" s="513"/>
      <c r="AIR46" s="513"/>
      <c r="AIS46" s="513"/>
      <c r="AIT46" s="513"/>
      <c r="AIU46" s="513"/>
      <c r="AIV46" s="513"/>
      <c r="AIW46" s="513"/>
      <c r="AIX46" s="513"/>
      <c r="AIY46" s="513"/>
      <c r="AIZ46" s="513"/>
      <c r="AJA46" s="513"/>
      <c r="AJB46" s="513"/>
      <c r="AJC46" s="513"/>
      <c r="AJD46" s="513"/>
      <c r="AJE46" s="513"/>
      <c r="AJF46" s="513"/>
      <c r="AJG46" s="513"/>
      <c r="AJH46" s="513"/>
      <c r="AJI46" s="513"/>
      <c r="AJJ46" s="513"/>
      <c r="AJK46" s="513"/>
      <c r="AJL46" s="513"/>
      <c r="AJM46" s="513"/>
      <c r="AJN46" s="513"/>
      <c r="AJO46" s="513"/>
      <c r="AJP46" s="513"/>
      <c r="AJQ46" s="513"/>
      <c r="AJR46" s="513"/>
      <c r="AJS46" s="513"/>
      <c r="AJT46" s="513"/>
      <c r="AJU46" s="513"/>
      <c r="AJV46" s="513"/>
      <c r="AJW46" s="513"/>
      <c r="AJX46" s="513"/>
      <c r="AJY46" s="513"/>
      <c r="AJZ46" s="513"/>
      <c r="AKA46" s="513"/>
      <c r="AKB46" s="513"/>
      <c r="AKC46" s="513"/>
      <c r="AKD46" s="513"/>
      <c r="AKE46" s="513"/>
      <c r="AKF46" s="513"/>
      <c r="AKG46" s="513"/>
      <c r="AKH46" s="513"/>
      <c r="AKI46" s="513"/>
      <c r="AKJ46" s="513"/>
      <c r="AKK46" s="513"/>
      <c r="AKL46" s="513"/>
      <c r="AKM46" s="513"/>
      <c r="AKN46" s="513"/>
      <c r="AKO46" s="513"/>
      <c r="AKP46" s="513"/>
      <c r="AKQ46" s="513"/>
      <c r="AKR46" s="513"/>
      <c r="AKS46" s="513"/>
      <c r="AKT46" s="513"/>
      <c r="AKU46" s="513"/>
      <c r="AKV46" s="513"/>
      <c r="AKW46" s="513"/>
      <c r="AKX46" s="513"/>
      <c r="AKY46" s="513"/>
      <c r="AKZ46" s="513"/>
      <c r="ALA46" s="513"/>
      <c r="ALB46" s="513"/>
      <c r="ALC46" s="513"/>
      <c r="ALD46" s="513"/>
      <c r="ALE46" s="513"/>
      <c r="ALF46" s="513"/>
      <c r="ALG46" s="513"/>
      <c r="ALH46" s="513"/>
      <c r="ALI46" s="513"/>
      <c r="ALJ46" s="513"/>
      <c r="ALK46" s="513"/>
      <c r="ALL46" s="513"/>
      <c r="ALM46" s="513"/>
      <c r="ALN46" s="513"/>
      <c r="ALO46" s="513"/>
      <c r="ALP46" s="513"/>
      <c r="ALQ46" s="513"/>
      <c r="ALR46" s="513"/>
      <c r="ALS46" s="513"/>
      <c r="ALT46" s="513"/>
      <c r="ALU46" s="513"/>
      <c r="ALV46" s="513"/>
      <c r="ALW46" s="513"/>
      <c r="ALX46" s="513"/>
      <c r="ALY46" s="513"/>
      <c r="ALZ46" s="513"/>
      <c r="AMA46" s="513"/>
      <c r="AMB46" s="513"/>
      <c r="AMC46" s="513"/>
      <c r="AMD46" s="513"/>
      <c r="AME46" s="513"/>
      <c r="AMF46" s="513"/>
      <c r="AMG46" s="513"/>
      <c r="AMH46" s="513"/>
      <c r="AMI46" s="513"/>
      <c r="AMJ46" s="513"/>
      <c r="AMK46" s="513"/>
    </row>
    <row r="47" spans="1:1025" ht="15.95" customHeight="1" x14ac:dyDescent="0.25">
      <c r="A47" s="532"/>
      <c r="B47" s="533"/>
      <c r="C47" s="534"/>
      <c r="D47" s="534"/>
      <c r="E47" s="535"/>
      <c r="F47" s="518"/>
      <c r="G47" s="536"/>
      <c r="H47" s="537"/>
      <c r="I47" s="538"/>
      <c r="J47" s="531"/>
      <c r="K47" s="531"/>
      <c r="L47" s="531"/>
      <c r="M47" s="531"/>
      <c r="N47" s="531"/>
      <c r="O47" s="531"/>
      <c r="P47" s="531"/>
      <c r="Q47" s="531"/>
      <c r="R47" s="512"/>
      <c r="S47" s="513"/>
      <c r="T47" s="513"/>
      <c r="U47" s="513"/>
      <c r="V47" s="513"/>
      <c r="W47" s="513"/>
      <c r="X47" s="513"/>
      <c r="Y47" s="513"/>
      <c r="Z47" s="513"/>
      <c r="AA47" s="513"/>
      <c r="AB47" s="513"/>
      <c r="AC47" s="513"/>
      <c r="AD47" s="513"/>
      <c r="AE47" s="513"/>
      <c r="AF47" s="513"/>
      <c r="AG47" s="513"/>
      <c r="AH47" s="513"/>
      <c r="AI47" s="513"/>
      <c r="AJ47" s="513"/>
      <c r="AK47" s="513"/>
      <c r="AL47" s="513"/>
      <c r="AM47" s="513"/>
      <c r="AN47" s="513"/>
      <c r="AO47" s="513"/>
      <c r="AP47" s="513"/>
      <c r="AQ47" s="513"/>
      <c r="AR47" s="513"/>
      <c r="AS47" s="513"/>
      <c r="AT47" s="513"/>
      <c r="AU47" s="513"/>
      <c r="AV47" s="513"/>
      <c r="AW47" s="513"/>
      <c r="AX47" s="513"/>
      <c r="AY47" s="513"/>
      <c r="AZ47" s="513"/>
      <c r="BA47" s="513"/>
      <c r="BB47" s="513"/>
      <c r="BC47" s="513"/>
      <c r="BD47" s="513"/>
      <c r="BE47" s="513"/>
      <c r="BF47" s="513"/>
      <c r="BG47" s="513"/>
      <c r="BH47" s="513"/>
      <c r="BI47" s="513"/>
      <c r="BJ47" s="513"/>
      <c r="BK47" s="513"/>
      <c r="BL47" s="513"/>
      <c r="BM47" s="513"/>
      <c r="BN47" s="513"/>
      <c r="BO47" s="513"/>
      <c r="BP47" s="513"/>
      <c r="BQ47" s="513"/>
      <c r="BR47" s="513"/>
      <c r="BS47" s="513"/>
      <c r="BT47" s="513"/>
      <c r="BU47" s="513"/>
      <c r="BV47" s="513"/>
      <c r="BW47" s="513"/>
      <c r="BX47" s="513"/>
      <c r="BY47" s="513"/>
      <c r="BZ47" s="513"/>
      <c r="CA47" s="513"/>
      <c r="CB47" s="513"/>
      <c r="CC47" s="513"/>
      <c r="CD47" s="513"/>
      <c r="CE47" s="513"/>
      <c r="CF47" s="513"/>
      <c r="CG47" s="513"/>
      <c r="CH47" s="513"/>
      <c r="CI47" s="513"/>
      <c r="CJ47" s="513"/>
      <c r="CK47" s="513"/>
      <c r="CL47" s="513"/>
      <c r="CM47" s="513"/>
      <c r="CN47" s="513"/>
      <c r="CO47" s="513"/>
      <c r="CP47" s="513"/>
      <c r="CQ47" s="513"/>
      <c r="CR47" s="513"/>
      <c r="CS47" s="513"/>
      <c r="CT47" s="513"/>
      <c r="CU47" s="513"/>
      <c r="CV47" s="513"/>
      <c r="CW47" s="513"/>
      <c r="CX47" s="513"/>
      <c r="CY47" s="513"/>
      <c r="CZ47" s="513"/>
      <c r="DA47" s="513"/>
      <c r="DB47" s="513"/>
      <c r="DC47" s="513"/>
      <c r="DD47" s="513"/>
      <c r="DE47" s="513"/>
      <c r="DF47" s="513"/>
      <c r="DG47" s="513"/>
      <c r="DH47" s="513"/>
      <c r="DI47" s="513"/>
      <c r="DJ47" s="513"/>
      <c r="DK47" s="513"/>
      <c r="DL47" s="513"/>
      <c r="DM47" s="513"/>
      <c r="DN47" s="513"/>
      <c r="DO47" s="513"/>
      <c r="DP47" s="513"/>
      <c r="DQ47" s="513"/>
      <c r="DR47" s="513"/>
      <c r="DS47" s="513"/>
      <c r="DT47" s="513"/>
      <c r="DU47" s="513"/>
      <c r="DV47" s="513"/>
      <c r="DW47" s="513"/>
      <c r="DX47" s="513"/>
      <c r="DY47" s="513"/>
      <c r="DZ47" s="513"/>
      <c r="EA47" s="513"/>
      <c r="EB47" s="513"/>
      <c r="EC47" s="513"/>
      <c r="ED47" s="513"/>
      <c r="EE47" s="513"/>
      <c r="EF47" s="513"/>
      <c r="EG47" s="513"/>
      <c r="EH47" s="513"/>
      <c r="EI47" s="513"/>
      <c r="EJ47" s="513"/>
      <c r="EK47" s="513"/>
      <c r="EL47" s="513"/>
      <c r="EM47" s="513"/>
      <c r="EN47" s="513"/>
      <c r="EO47" s="513"/>
      <c r="EP47" s="513"/>
      <c r="EQ47" s="513"/>
      <c r="ER47" s="513"/>
      <c r="ES47" s="513"/>
      <c r="ET47" s="513"/>
      <c r="EU47" s="513"/>
      <c r="EV47" s="513"/>
      <c r="EW47" s="513"/>
      <c r="EX47" s="513"/>
      <c r="EY47" s="513"/>
      <c r="EZ47" s="513"/>
      <c r="FA47" s="513"/>
      <c r="FB47" s="513"/>
      <c r="FC47" s="513"/>
      <c r="FD47" s="513"/>
      <c r="FE47" s="513"/>
      <c r="FF47" s="513"/>
      <c r="FG47" s="513"/>
      <c r="FH47" s="513"/>
      <c r="FI47" s="513"/>
      <c r="FJ47" s="513"/>
      <c r="FK47" s="513"/>
      <c r="FL47" s="513"/>
      <c r="FM47" s="513"/>
      <c r="FN47" s="513"/>
      <c r="FO47" s="513"/>
      <c r="FP47" s="513"/>
      <c r="FQ47" s="513"/>
      <c r="FR47" s="513"/>
      <c r="FS47" s="513"/>
      <c r="FT47" s="513"/>
      <c r="FU47" s="513"/>
      <c r="FV47" s="513"/>
      <c r="FW47" s="513"/>
      <c r="FX47" s="513"/>
      <c r="FY47" s="513"/>
      <c r="FZ47" s="513"/>
      <c r="GA47" s="513"/>
      <c r="GB47" s="513"/>
      <c r="GC47" s="513"/>
      <c r="GD47" s="513"/>
      <c r="GE47" s="513"/>
      <c r="GF47" s="513"/>
      <c r="GG47" s="513"/>
      <c r="GH47" s="513"/>
      <c r="GI47" s="513"/>
      <c r="GJ47" s="513"/>
      <c r="GK47" s="513"/>
      <c r="GL47" s="513"/>
      <c r="GM47" s="513"/>
      <c r="GN47" s="513"/>
      <c r="GO47" s="513"/>
      <c r="GP47" s="513"/>
      <c r="GQ47" s="513"/>
      <c r="GR47" s="513"/>
      <c r="GS47" s="513"/>
      <c r="GT47" s="513"/>
      <c r="GU47" s="513"/>
      <c r="GV47" s="513"/>
      <c r="GW47" s="513"/>
      <c r="GX47" s="513"/>
      <c r="GY47" s="513"/>
      <c r="GZ47" s="513"/>
      <c r="HA47" s="513"/>
      <c r="HB47" s="513"/>
      <c r="HC47" s="513"/>
      <c r="HD47" s="513"/>
      <c r="HE47" s="513"/>
      <c r="HF47" s="513"/>
      <c r="HG47" s="513"/>
      <c r="HH47" s="513"/>
      <c r="HI47" s="513"/>
      <c r="HJ47" s="513"/>
      <c r="HK47" s="513"/>
      <c r="HL47" s="513"/>
      <c r="HM47" s="513"/>
      <c r="HN47" s="513"/>
      <c r="HO47" s="513"/>
      <c r="HP47" s="513"/>
      <c r="HQ47" s="513"/>
      <c r="HR47" s="513"/>
      <c r="HS47" s="513"/>
      <c r="HT47" s="513"/>
      <c r="HU47" s="513"/>
      <c r="HV47" s="513"/>
      <c r="HW47" s="513"/>
      <c r="HX47" s="513"/>
      <c r="HY47" s="513"/>
      <c r="HZ47" s="513"/>
      <c r="IA47" s="513"/>
      <c r="IB47" s="513"/>
      <c r="IC47" s="513"/>
      <c r="ID47" s="513"/>
      <c r="IE47" s="513"/>
      <c r="IF47" s="513"/>
      <c r="IG47" s="513"/>
      <c r="IH47" s="513"/>
      <c r="II47" s="513"/>
      <c r="IJ47" s="513"/>
      <c r="IK47" s="513"/>
      <c r="IL47" s="513"/>
      <c r="IM47" s="513"/>
      <c r="IN47" s="513"/>
      <c r="IO47" s="513"/>
      <c r="IP47" s="513"/>
      <c r="IQ47" s="513"/>
      <c r="IR47" s="513"/>
      <c r="IS47" s="513"/>
      <c r="IT47" s="513"/>
      <c r="IU47" s="513"/>
      <c r="IV47" s="513"/>
      <c r="IW47" s="513"/>
      <c r="IX47" s="513"/>
      <c r="IY47" s="513"/>
      <c r="IZ47" s="513"/>
      <c r="JA47" s="513"/>
      <c r="JB47" s="513"/>
      <c r="JC47" s="513"/>
      <c r="JD47" s="513"/>
      <c r="JE47" s="513"/>
      <c r="JF47" s="513"/>
      <c r="JG47" s="513"/>
      <c r="JH47" s="513"/>
      <c r="JI47" s="513"/>
      <c r="JJ47" s="513"/>
      <c r="JK47" s="513"/>
      <c r="JL47" s="513"/>
      <c r="JM47" s="513"/>
      <c r="JN47" s="513"/>
      <c r="JO47" s="513"/>
      <c r="JP47" s="513"/>
      <c r="JQ47" s="513"/>
      <c r="JR47" s="513"/>
      <c r="JS47" s="513"/>
      <c r="JT47" s="513"/>
      <c r="JU47" s="513"/>
      <c r="JV47" s="513"/>
      <c r="JW47" s="513"/>
      <c r="JX47" s="513"/>
      <c r="JY47" s="513"/>
      <c r="JZ47" s="513"/>
      <c r="KA47" s="513"/>
      <c r="KB47" s="513"/>
      <c r="KC47" s="513"/>
      <c r="KD47" s="513"/>
      <c r="KE47" s="513"/>
      <c r="KF47" s="513"/>
      <c r="KG47" s="513"/>
      <c r="KH47" s="513"/>
      <c r="KI47" s="513"/>
      <c r="KJ47" s="513"/>
      <c r="KK47" s="513"/>
      <c r="KL47" s="513"/>
      <c r="KM47" s="513"/>
      <c r="KN47" s="513"/>
      <c r="KO47" s="513"/>
      <c r="KP47" s="513"/>
      <c r="KQ47" s="513"/>
      <c r="KR47" s="513"/>
      <c r="KS47" s="513"/>
      <c r="KT47" s="513"/>
      <c r="KU47" s="513"/>
      <c r="KV47" s="513"/>
      <c r="KW47" s="513"/>
      <c r="KX47" s="513"/>
      <c r="KY47" s="513"/>
      <c r="KZ47" s="513"/>
      <c r="LA47" s="513"/>
      <c r="LB47" s="513"/>
      <c r="LC47" s="513"/>
      <c r="LD47" s="513"/>
      <c r="LE47" s="513"/>
      <c r="LF47" s="513"/>
      <c r="LG47" s="513"/>
      <c r="LH47" s="513"/>
      <c r="LI47" s="513"/>
      <c r="LJ47" s="513"/>
      <c r="LK47" s="513"/>
      <c r="LL47" s="513"/>
      <c r="LM47" s="513"/>
      <c r="LN47" s="513"/>
      <c r="LO47" s="513"/>
      <c r="LP47" s="513"/>
      <c r="LQ47" s="513"/>
      <c r="LR47" s="513"/>
      <c r="LS47" s="513"/>
      <c r="LT47" s="513"/>
      <c r="LU47" s="513"/>
      <c r="LV47" s="513"/>
      <c r="LW47" s="513"/>
      <c r="LX47" s="513"/>
      <c r="LY47" s="513"/>
      <c r="LZ47" s="513"/>
      <c r="MA47" s="513"/>
      <c r="MB47" s="513"/>
      <c r="MC47" s="513"/>
      <c r="MD47" s="513"/>
      <c r="ME47" s="513"/>
      <c r="MF47" s="513"/>
      <c r="MG47" s="513"/>
      <c r="MH47" s="513"/>
      <c r="MI47" s="513"/>
      <c r="MJ47" s="513"/>
      <c r="MK47" s="513"/>
      <c r="ML47" s="513"/>
      <c r="MM47" s="513"/>
      <c r="MN47" s="513"/>
      <c r="MO47" s="513"/>
      <c r="MP47" s="513"/>
      <c r="MQ47" s="513"/>
      <c r="MR47" s="513"/>
      <c r="MS47" s="513"/>
      <c r="MT47" s="513"/>
      <c r="MU47" s="513"/>
      <c r="MV47" s="513"/>
      <c r="MW47" s="513"/>
      <c r="MX47" s="513"/>
      <c r="MY47" s="513"/>
      <c r="MZ47" s="513"/>
      <c r="NA47" s="513"/>
      <c r="NB47" s="513"/>
      <c r="NC47" s="513"/>
      <c r="ND47" s="513"/>
      <c r="NE47" s="513"/>
      <c r="NF47" s="513"/>
      <c r="NG47" s="513"/>
      <c r="NH47" s="513"/>
      <c r="NI47" s="513"/>
      <c r="NJ47" s="513"/>
      <c r="NK47" s="513"/>
      <c r="NL47" s="513"/>
      <c r="NM47" s="513"/>
      <c r="NN47" s="513"/>
      <c r="NO47" s="513"/>
      <c r="NP47" s="513"/>
      <c r="NQ47" s="513"/>
      <c r="NR47" s="513"/>
      <c r="NS47" s="513"/>
      <c r="NT47" s="513"/>
      <c r="NU47" s="513"/>
      <c r="NV47" s="513"/>
      <c r="NW47" s="513"/>
      <c r="NX47" s="513"/>
      <c r="NY47" s="513"/>
      <c r="NZ47" s="513"/>
      <c r="OA47" s="513"/>
      <c r="OB47" s="513"/>
      <c r="OC47" s="513"/>
      <c r="OD47" s="513"/>
      <c r="OE47" s="513"/>
      <c r="OF47" s="513"/>
      <c r="OG47" s="513"/>
      <c r="OH47" s="513"/>
      <c r="OI47" s="513"/>
      <c r="OJ47" s="513"/>
      <c r="OK47" s="513"/>
      <c r="OL47" s="513"/>
      <c r="OM47" s="513"/>
      <c r="ON47" s="513"/>
      <c r="OO47" s="513"/>
      <c r="OP47" s="513"/>
      <c r="OQ47" s="513"/>
      <c r="OR47" s="513"/>
      <c r="OS47" s="513"/>
      <c r="OT47" s="513"/>
      <c r="OU47" s="513"/>
      <c r="OV47" s="513"/>
      <c r="OW47" s="513"/>
      <c r="OX47" s="513"/>
      <c r="OY47" s="513"/>
      <c r="OZ47" s="513"/>
      <c r="PA47" s="513"/>
      <c r="PB47" s="513"/>
      <c r="PC47" s="513"/>
      <c r="PD47" s="513"/>
      <c r="PE47" s="513"/>
      <c r="PF47" s="513"/>
      <c r="PG47" s="513"/>
      <c r="PH47" s="513"/>
      <c r="PI47" s="513"/>
      <c r="PJ47" s="513"/>
      <c r="PK47" s="513"/>
      <c r="PL47" s="513"/>
      <c r="PM47" s="513"/>
      <c r="PN47" s="513"/>
      <c r="PO47" s="513"/>
      <c r="PP47" s="513"/>
      <c r="PQ47" s="513"/>
      <c r="PR47" s="513"/>
      <c r="PS47" s="513"/>
      <c r="PT47" s="513"/>
      <c r="PU47" s="513"/>
      <c r="PV47" s="513"/>
      <c r="PW47" s="513"/>
      <c r="PX47" s="513"/>
      <c r="PY47" s="513"/>
      <c r="PZ47" s="513"/>
      <c r="QA47" s="513"/>
      <c r="QB47" s="513"/>
      <c r="QC47" s="513"/>
      <c r="QD47" s="513"/>
      <c r="QE47" s="513"/>
      <c r="QF47" s="513"/>
      <c r="QG47" s="513"/>
      <c r="QH47" s="513"/>
      <c r="QI47" s="513"/>
      <c r="QJ47" s="513"/>
      <c r="QK47" s="513"/>
      <c r="QL47" s="513"/>
      <c r="QM47" s="513"/>
      <c r="QN47" s="513"/>
      <c r="QO47" s="513"/>
      <c r="QP47" s="513"/>
      <c r="QQ47" s="513"/>
      <c r="QR47" s="513"/>
      <c r="QS47" s="513"/>
      <c r="QT47" s="513"/>
      <c r="QU47" s="513"/>
      <c r="QV47" s="513"/>
      <c r="QW47" s="513"/>
      <c r="QX47" s="513"/>
      <c r="QY47" s="513"/>
      <c r="QZ47" s="513"/>
      <c r="RA47" s="513"/>
      <c r="RB47" s="513"/>
      <c r="RC47" s="513"/>
      <c r="RD47" s="513"/>
      <c r="RE47" s="513"/>
      <c r="RF47" s="513"/>
      <c r="RG47" s="513"/>
      <c r="RH47" s="513"/>
      <c r="RI47" s="513"/>
      <c r="RJ47" s="513"/>
      <c r="RK47" s="513"/>
      <c r="RL47" s="513"/>
      <c r="RM47" s="513"/>
      <c r="RN47" s="513"/>
      <c r="RO47" s="513"/>
      <c r="RP47" s="513"/>
      <c r="RQ47" s="513"/>
      <c r="RR47" s="513"/>
      <c r="RS47" s="513"/>
      <c r="RT47" s="513"/>
      <c r="RU47" s="513"/>
      <c r="RV47" s="513"/>
      <c r="RW47" s="513"/>
      <c r="RX47" s="513"/>
      <c r="RY47" s="513"/>
      <c r="RZ47" s="513"/>
      <c r="SA47" s="513"/>
      <c r="SB47" s="513"/>
      <c r="SC47" s="513"/>
      <c r="SD47" s="513"/>
      <c r="SE47" s="513"/>
      <c r="SF47" s="513"/>
      <c r="SG47" s="513"/>
      <c r="SH47" s="513"/>
      <c r="SI47" s="513"/>
      <c r="SJ47" s="513"/>
      <c r="SK47" s="513"/>
      <c r="SL47" s="513"/>
      <c r="SM47" s="513"/>
      <c r="SN47" s="513"/>
      <c r="SO47" s="513"/>
      <c r="SP47" s="513"/>
      <c r="SQ47" s="513"/>
      <c r="SR47" s="513"/>
      <c r="SS47" s="513"/>
      <c r="ST47" s="513"/>
      <c r="SU47" s="513"/>
      <c r="SV47" s="513"/>
      <c r="SW47" s="513"/>
      <c r="SX47" s="513"/>
      <c r="SY47" s="513"/>
      <c r="SZ47" s="513"/>
      <c r="TA47" s="513"/>
      <c r="TB47" s="513"/>
      <c r="TC47" s="513"/>
      <c r="TD47" s="513"/>
      <c r="TE47" s="513"/>
      <c r="TF47" s="513"/>
      <c r="TG47" s="513"/>
      <c r="TH47" s="513"/>
      <c r="TI47" s="513"/>
      <c r="TJ47" s="513"/>
      <c r="TK47" s="513"/>
      <c r="TL47" s="513"/>
      <c r="TM47" s="513"/>
      <c r="TN47" s="513"/>
      <c r="TO47" s="513"/>
      <c r="TP47" s="513"/>
      <c r="TQ47" s="513"/>
      <c r="TR47" s="513"/>
      <c r="TS47" s="513"/>
      <c r="TT47" s="513"/>
      <c r="TU47" s="513"/>
      <c r="TV47" s="513"/>
      <c r="TW47" s="513"/>
      <c r="TX47" s="513"/>
      <c r="TY47" s="513"/>
      <c r="TZ47" s="513"/>
      <c r="UA47" s="513"/>
      <c r="UB47" s="513"/>
      <c r="UC47" s="513"/>
      <c r="UD47" s="513"/>
      <c r="UE47" s="513"/>
      <c r="UF47" s="513"/>
      <c r="UG47" s="513"/>
      <c r="UH47" s="513"/>
      <c r="UI47" s="513"/>
      <c r="UJ47" s="513"/>
      <c r="UK47" s="513"/>
      <c r="UL47" s="513"/>
      <c r="UM47" s="513"/>
      <c r="UN47" s="513"/>
      <c r="UO47" s="513"/>
      <c r="UP47" s="513"/>
      <c r="UQ47" s="513"/>
      <c r="UR47" s="513"/>
      <c r="US47" s="513"/>
      <c r="UT47" s="513"/>
      <c r="UU47" s="513"/>
      <c r="UV47" s="513"/>
      <c r="UW47" s="513"/>
      <c r="UX47" s="513"/>
      <c r="UY47" s="513"/>
      <c r="UZ47" s="513"/>
      <c r="VA47" s="513"/>
      <c r="VB47" s="513"/>
      <c r="VC47" s="513"/>
      <c r="VD47" s="513"/>
      <c r="VE47" s="513"/>
      <c r="VF47" s="513"/>
      <c r="VG47" s="513"/>
      <c r="VH47" s="513"/>
      <c r="VI47" s="513"/>
      <c r="VJ47" s="513"/>
      <c r="VK47" s="513"/>
      <c r="VL47" s="513"/>
      <c r="VM47" s="513"/>
      <c r="VN47" s="513"/>
      <c r="VO47" s="513"/>
      <c r="VP47" s="513"/>
      <c r="VQ47" s="513"/>
      <c r="VR47" s="513"/>
      <c r="VS47" s="513"/>
      <c r="VT47" s="513"/>
      <c r="VU47" s="513"/>
      <c r="VV47" s="513"/>
      <c r="VW47" s="513"/>
      <c r="VX47" s="513"/>
      <c r="VY47" s="513"/>
      <c r="VZ47" s="513"/>
      <c r="WA47" s="513"/>
      <c r="WB47" s="513"/>
      <c r="WC47" s="513"/>
      <c r="WD47" s="513"/>
      <c r="WE47" s="513"/>
      <c r="WF47" s="513"/>
      <c r="WG47" s="513"/>
      <c r="WH47" s="513"/>
      <c r="WI47" s="513"/>
      <c r="WJ47" s="513"/>
      <c r="WK47" s="513"/>
      <c r="WL47" s="513"/>
      <c r="WM47" s="513"/>
      <c r="WN47" s="513"/>
      <c r="WO47" s="513"/>
      <c r="WP47" s="513"/>
      <c r="WQ47" s="513"/>
      <c r="WR47" s="513"/>
      <c r="WS47" s="513"/>
      <c r="WT47" s="513"/>
      <c r="WU47" s="513"/>
      <c r="WV47" s="513"/>
      <c r="WW47" s="513"/>
      <c r="WX47" s="513"/>
      <c r="WY47" s="513"/>
      <c r="WZ47" s="513"/>
      <c r="XA47" s="513"/>
      <c r="XB47" s="513"/>
      <c r="XC47" s="513"/>
      <c r="XD47" s="513"/>
      <c r="XE47" s="513"/>
      <c r="XF47" s="513"/>
      <c r="XG47" s="513"/>
      <c r="XH47" s="513"/>
      <c r="XI47" s="513"/>
      <c r="XJ47" s="513"/>
      <c r="XK47" s="513"/>
      <c r="XL47" s="513"/>
      <c r="XM47" s="513"/>
      <c r="XN47" s="513"/>
      <c r="XO47" s="513"/>
      <c r="XP47" s="513"/>
      <c r="XQ47" s="513"/>
      <c r="XR47" s="513"/>
      <c r="XS47" s="513"/>
      <c r="XT47" s="513"/>
      <c r="XU47" s="513"/>
      <c r="XV47" s="513"/>
      <c r="XW47" s="513"/>
      <c r="XX47" s="513"/>
      <c r="XY47" s="513"/>
      <c r="XZ47" s="513"/>
      <c r="YA47" s="513"/>
      <c r="YB47" s="513"/>
      <c r="YC47" s="513"/>
      <c r="YD47" s="513"/>
      <c r="YE47" s="513"/>
      <c r="YF47" s="513"/>
      <c r="YG47" s="513"/>
      <c r="YH47" s="513"/>
      <c r="YI47" s="513"/>
      <c r="YJ47" s="513"/>
      <c r="YK47" s="513"/>
      <c r="YL47" s="513"/>
      <c r="YM47" s="513"/>
      <c r="YN47" s="513"/>
      <c r="YO47" s="513"/>
      <c r="YP47" s="513"/>
      <c r="YQ47" s="513"/>
      <c r="YR47" s="513"/>
      <c r="YS47" s="513"/>
      <c r="YT47" s="513"/>
      <c r="YU47" s="513"/>
      <c r="YV47" s="513"/>
      <c r="YW47" s="513"/>
      <c r="YX47" s="513"/>
      <c r="YY47" s="513"/>
      <c r="YZ47" s="513"/>
      <c r="ZA47" s="513"/>
      <c r="ZB47" s="513"/>
      <c r="ZC47" s="513"/>
      <c r="ZD47" s="513"/>
      <c r="ZE47" s="513"/>
      <c r="ZF47" s="513"/>
      <c r="ZG47" s="513"/>
      <c r="ZH47" s="513"/>
      <c r="ZI47" s="513"/>
      <c r="ZJ47" s="513"/>
      <c r="ZK47" s="513"/>
      <c r="ZL47" s="513"/>
      <c r="ZM47" s="513"/>
      <c r="ZN47" s="513"/>
      <c r="ZO47" s="513"/>
      <c r="ZP47" s="513"/>
      <c r="ZQ47" s="513"/>
      <c r="ZR47" s="513"/>
      <c r="ZS47" s="513"/>
      <c r="ZT47" s="513"/>
      <c r="ZU47" s="513"/>
      <c r="ZV47" s="513"/>
      <c r="ZW47" s="513"/>
      <c r="ZX47" s="513"/>
      <c r="ZY47" s="513"/>
      <c r="ZZ47" s="513"/>
      <c r="AAA47" s="513"/>
      <c r="AAB47" s="513"/>
      <c r="AAC47" s="513"/>
      <c r="AAD47" s="513"/>
      <c r="AAE47" s="513"/>
      <c r="AAF47" s="513"/>
      <c r="AAG47" s="513"/>
      <c r="AAH47" s="513"/>
      <c r="AAI47" s="513"/>
      <c r="AAJ47" s="513"/>
      <c r="AAK47" s="513"/>
      <c r="AAL47" s="513"/>
      <c r="AAM47" s="513"/>
      <c r="AAN47" s="513"/>
      <c r="AAO47" s="513"/>
      <c r="AAP47" s="513"/>
      <c r="AAQ47" s="513"/>
      <c r="AAR47" s="513"/>
      <c r="AAS47" s="513"/>
      <c r="AAT47" s="513"/>
      <c r="AAU47" s="513"/>
      <c r="AAV47" s="513"/>
      <c r="AAW47" s="513"/>
      <c r="AAX47" s="513"/>
      <c r="AAY47" s="513"/>
      <c r="AAZ47" s="513"/>
      <c r="ABA47" s="513"/>
      <c r="ABB47" s="513"/>
      <c r="ABC47" s="513"/>
      <c r="ABD47" s="513"/>
      <c r="ABE47" s="513"/>
      <c r="ABF47" s="513"/>
      <c r="ABG47" s="513"/>
      <c r="ABH47" s="513"/>
      <c r="ABI47" s="513"/>
      <c r="ABJ47" s="513"/>
      <c r="ABK47" s="513"/>
      <c r="ABL47" s="513"/>
      <c r="ABM47" s="513"/>
      <c r="ABN47" s="513"/>
      <c r="ABO47" s="513"/>
      <c r="ABP47" s="513"/>
      <c r="ABQ47" s="513"/>
      <c r="ABR47" s="513"/>
      <c r="ABS47" s="513"/>
      <c r="ABT47" s="513"/>
      <c r="ABU47" s="513"/>
      <c r="ABV47" s="513"/>
      <c r="ABW47" s="513"/>
      <c r="ABX47" s="513"/>
      <c r="ABY47" s="513"/>
      <c r="ABZ47" s="513"/>
      <c r="ACA47" s="513"/>
      <c r="ACB47" s="513"/>
      <c r="ACC47" s="513"/>
      <c r="ACD47" s="513"/>
      <c r="ACE47" s="513"/>
      <c r="ACF47" s="513"/>
      <c r="ACG47" s="513"/>
      <c r="ACH47" s="513"/>
      <c r="ACI47" s="513"/>
      <c r="ACJ47" s="513"/>
      <c r="ACK47" s="513"/>
      <c r="ACL47" s="513"/>
      <c r="ACM47" s="513"/>
      <c r="ACN47" s="513"/>
      <c r="ACO47" s="513"/>
      <c r="ACP47" s="513"/>
      <c r="ACQ47" s="513"/>
      <c r="ACR47" s="513"/>
      <c r="ACS47" s="513"/>
      <c r="ACT47" s="513"/>
      <c r="ACU47" s="513"/>
      <c r="ACV47" s="513"/>
      <c r="ACW47" s="513"/>
      <c r="ACX47" s="513"/>
      <c r="ACY47" s="513"/>
      <c r="ACZ47" s="513"/>
      <c r="ADA47" s="513"/>
      <c r="ADB47" s="513"/>
      <c r="ADC47" s="513"/>
      <c r="ADD47" s="513"/>
      <c r="ADE47" s="513"/>
      <c r="ADF47" s="513"/>
      <c r="ADG47" s="513"/>
      <c r="ADH47" s="513"/>
      <c r="ADI47" s="513"/>
      <c r="ADJ47" s="513"/>
      <c r="ADK47" s="513"/>
      <c r="ADL47" s="513"/>
      <c r="ADM47" s="513"/>
      <c r="ADN47" s="513"/>
      <c r="ADO47" s="513"/>
      <c r="ADP47" s="513"/>
      <c r="ADQ47" s="513"/>
      <c r="ADR47" s="513"/>
      <c r="ADS47" s="513"/>
      <c r="ADT47" s="513"/>
      <c r="ADU47" s="513"/>
      <c r="ADV47" s="513"/>
      <c r="ADW47" s="513"/>
      <c r="ADX47" s="513"/>
      <c r="ADY47" s="513"/>
      <c r="ADZ47" s="513"/>
      <c r="AEA47" s="513"/>
      <c r="AEB47" s="513"/>
      <c r="AEC47" s="513"/>
      <c r="AED47" s="513"/>
      <c r="AEE47" s="513"/>
      <c r="AEF47" s="513"/>
      <c r="AEG47" s="513"/>
      <c r="AEH47" s="513"/>
      <c r="AEI47" s="513"/>
      <c r="AEJ47" s="513"/>
      <c r="AEK47" s="513"/>
      <c r="AEL47" s="513"/>
      <c r="AEM47" s="513"/>
      <c r="AEN47" s="513"/>
      <c r="AEO47" s="513"/>
      <c r="AEP47" s="513"/>
      <c r="AEQ47" s="513"/>
      <c r="AER47" s="513"/>
      <c r="AES47" s="513"/>
      <c r="AET47" s="513"/>
      <c r="AEU47" s="513"/>
      <c r="AEV47" s="513"/>
      <c r="AEW47" s="513"/>
      <c r="AEX47" s="513"/>
      <c r="AEY47" s="513"/>
      <c r="AEZ47" s="513"/>
      <c r="AFA47" s="513"/>
      <c r="AFB47" s="513"/>
      <c r="AFC47" s="513"/>
      <c r="AFD47" s="513"/>
      <c r="AFE47" s="513"/>
      <c r="AFF47" s="513"/>
      <c r="AFG47" s="513"/>
      <c r="AFH47" s="513"/>
      <c r="AFI47" s="513"/>
      <c r="AFJ47" s="513"/>
      <c r="AFK47" s="513"/>
      <c r="AFL47" s="513"/>
      <c r="AFM47" s="513"/>
      <c r="AFN47" s="513"/>
      <c r="AFO47" s="513"/>
      <c r="AFP47" s="513"/>
      <c r="AFQ47" s="513"/>
      <c r="AFR47" s="513"/>
      <c r="AFS47" s="513"/>
      <c r="AFT47" s="513"/>
      <c r="AFU47" s="513"/>
      <c r="AFV47" s="513"/>
      <c r="AFW47" s="513"/>
      <c r="AFX47" s="513"/>
      <c r="AFY47" s="513"/>
      <c r="AFZ47" s="513"/>
      <c r="AGA47" s="513"/>
      <c r="AGB47" s="513"/>
      <c r="AGC47" s="513"/>
      <c r="AGD47" s="513"/>
      <c r="AGE47" s="513"/>
      <c r="AGF47" s="513"/>
      <c r="AGG47" s="513"/>
      <c r="AGH47" s="513"/>
      <c r="AGI47" s="513"/>
      <c r="AGJ47" s="513"/>
      <c r="AGK47" s="513"/>
      <c r="AGL47" s="513"/>
      <c r="AGM47" s="513"/>
      <c r="AGN47" s="513"/>
      <c r="AGO47" s="513"/>
      <c r="AGP47" s="513"/>
      <c r="AGQ47" s="513"/>
      <c r="AGR47" s="513"/>
      <c r="AGS47" s="513"/>
      <c r="AGT47" s="513"/>
      <c r="AGU47" s="513"/>
      <c r="AGV47" s="513"/>
      <c r="AGW47" s="513"/>
      <c r="AGX47" s="513"/>
      <c r="AGY47" s="513"/>
      <c r="AGZ47" s="513"/>
      <c r="AHA47" s="513"/>
      <c r="AHB47" s="513"/>
      <c r="AHC47" s="513"/>
      <c r="AHD47" s="513"/>
      <c r="AHE47" s="513"/>
      <c r="AHF47" s="513"/>
      <c r="AHG47" s="513"/>
      <c r="AHH47" s="513"/>
      <c r="AHI47" s="513"/>
      <c r="AHJ47" s="513"/>
      <c r="AHK47" s="513"/>
      <c r="AHL47" s="513"/>
      <c r="AHM47" s="513"/>
      <c r="AHN47" s="513"/>
      <c r="AHO47" s="513"/>
      <c r="AHP47" s="513"/>
      <c r="AHQ47" s="513"/>
      <c r="AHR47" s="513"/>
      <c r="AHS47" s="513"/>
      <c r="AHT47" s="513"/>
      <c r="AHU47" s="513"/>
      <c r="AHV47" s="513"/>
      <c r="AHW47" s="513"/>
      <c r="AHX47" s="513"/>
      <c r="AHY47" s="513"/>
      <c r="AHZ47" s="513"/>
      <c r="AIA47" s="513"/>
      <c r="AIB47" s="513"/>
      <c r="AIC47" s="513"/>
      <c r="AID47" s="513"/>
      <c r="AIE47" s="513"/>
      <c r="AIF47" s="513"/>
      <c r="AIG47" s="513"/>
      <c r="AIH47" s="513"/>
      <c r="AII47" s="513"/>
      <c r="AIJ47" s="513"/>
      <c r="AIK47" s="513"/>
      <c r="AIL47" s="513"/>
      <c r="AIM47" s="513"/>
      <c r="AIN47" s="513"/>
      <c r="AIO47" s="513"/>
      <c r="AIP47" s="513"/>
      <c r="AIQ47" s="513"/>
      <c r="AIR47" s="513"/>
      <c r="AIS47" s="513"/>
      <c r="AIT47" s="513"/>
      <c r="AIU47" s="513"/>
      <c r="AIV47" s="513"/>
      <c r="AIW47" s="513"/>
      <c r="AIX47" s="513"/>
      <c r="AIY47" s="513"/>
      <c r="AIZ47" s="513"/>
      <c r="AJA47" s="513"/>
      <c r="AJB47" s="513"/>
      <c r="AJC47" s="513"/>
      <c r="AJD47" s="513"/>
      <c r="AJE47" s="513"/>
      <c r="AJF47" s="513"/>
      <c r="AJG47" s="513"/>
      <c r="AJH47" s="513"/>
      <c r="AJI47" s="513"/>
      <c r="AJJ47" s="513"/>
      <c r="AJK47" s="513"/>
      <c r="AJL47" s="513"/>
      <c r="AJM47" s="513"/>
      <c r="AJN47" s="513"/>
      <c r="AJO47" s="513"/>
      <c r="AJP47" s="513"/>
      <c r="AJQ47" s="513"/>
      <c r="AJR47" s="513"/>
      <c r="AJS47" s="513"/>
      <c r="AJT47" s="513"/>
      <c r="AJU47" s="513"/>
      <c r="AJV47" s="513"/>
      <c r="AJW47" s="513"/>
      <c r="AJX47" s="513"/>
      <c r="AJY47" s="513"/>
      <c r="AJZ47" s="513"/>
      <c r="AKA47" s="513"/>
      <c r="AKB47" s="513"/>
      <c r="AKC47" s="513"/>
      <c r="AKD47" s="513"/>
      <c r="AKE47" s="513"/>
      <c r="AKF47" s="513"/>
      <c r="AKG47" s="513"/>
      <c r="AKH47" s="513"/>
      <c r="AKI47" s="513"/>
      <c r="AKJ47" s="513"/>
      <c r="AKK47" s="513"/>
      <c r="AKL47" s="513"/>
      <c r="AKM47" s="513"/>
      <c r="AKN47" s="513"/>
      <c r="AKO47" s="513"/>
      <c r="AKP47" s="513"/>
      <c r="AKQ47" s="513"/>
      <c r="AKR47" s="513"/>
      <c r="AKS47" s="513"/>
      <c r="AKT47" s="513"/>
      <c r="AKU47" s="513"/>
      <c r="AKV47" s="513"/>
      <c r="AKW47" s="513"/>
      <c r="AKX47" s="513"/>
      <c r="AKY47" s="513"/>
      <c r="AKZ47" s="513"/>
      <c r="ALA47" s="513"/>
      <c r="ALB47" s="513"/>
      <c r="ALC47" s="513"/>
      <c r="ALD47" s="513"/>
      <c r="ALE47" s="513"/>
      <c r="ALF47" s="513"/>
      <c r="ALG47" s="513"/>
      <c r="ALH47" s="513"/>
      <c r="ALI47" s="513"/>
      <c r="ALJ47" s="513"/>
      <c r="ALK47" s="513"/>
      <c r="ALL47" s="513"/>
      <c r="ALM47" s="513"/>
      <c r="ALN47" s="513"/>
      <c r="ALO47" s="513"/>
      <c r="ALP47" s="513"/>
      <c r="ALQ47" s="513"/>
      <c r="ALR47" s="513"/>
      <c r="ALS47" s="513"/>
      <c r="ALT47" s="513"/>
      <c r="ALU47" s="513"/>
      <c r="ALV47" s="513"/>
      <c r="ALW47" s="513"/>
      <c r="ALX47" s="513"/>
      <c r="ALY47" s="513"/>
      <c r="ALZ47" s="513"/>
      <c r="AMA47" s="513"/>
      <c r="AMB47" s="513"/>
      <c r="AMC47" s="513"/>
      <c r="AMD47" s="513"/>
      <c r="AME47" s="513"/>
      <c r="AMF47" s="513"/>
      <c r="AMG47" s="513"/>
      <c r="AMH47" s="513"/>
      <c r="AMI47" s="513"/>
      <c r="AMJ47" s="513"/>
      <c r="AMK47" s="513"/>
    </row>
    <row r="48" spans="1:1025" s="517" customFormat="1" ht="24.95" customHeight="1" x14ac:dyDescent="0.2">
      <c r="A48" s="1287" t="s">
        <v>399</v>
      </c>
      <c r="B48" s="1287"/>
      <c r="C48" s="1287"/>
      <c r="D48" s="1287"/>
      <c r="E48" s="1287"/>
      <c r="F48" s="1287"/>
      <c r="G48" s="1287"/>
      <c r="H48" s="1287"/>
      <c r="I48" s="1287"/>
      <c r="J48" s="1271"/>
      <c r="K48" s="1271"/>
      <c r="L48" s="1271"/>
      <c r="M48" s="1271"/>
      <c r="N48" s="1271"/>
      <c r="O48" s="1271"/>
      <c r="P48" s="1271"/>
      <c r="Q48" s="1271"/>
      <c r="R48" s="515"/>
      <c r="S48" s="516"/>
      <c r="T48" s="516"/>
      <c r="U48" s="516"/>
      <c r="V48" s="516"/>
      <c r="W48" s="516"/>
      <c r="X48" s="516"/>
    </row>
    <row r="49" spans="1:1025" s="522" customFormat="1" ht="26.1" customHeight="1" x14ac:dyDescent="0.2">
      <c r="A49" s="1272" t="str">
        <f>A40</f>
        <v>ITEM</v>
      </c>
      <c r="B49" s="1275" t="str">
        <f>B40</f>
        <v>POSTO DE TRABALHO</v>
      </c>
      <c r="C49" s="1278" t="s">
        <v>400</v>
      </c>
      <c r="D49" s="1278" t="s">
        <v>401</v>
      </c>
      <c r="E49" s="1281" t="s">
        <v>402</v>
      </c>
      <c r="F49" s="1278" t="s">
        <v>403</v>
      </c>
      <c r="G49" s="1284" t="s">
        <v>397</v>
      </c>
      <c r="H49" s="1278" t="s">
        <v>404</v>
      </c>
      <c r="I49" s="1278" t="s">
        <v>405</v>
      </c>
      <c r="J49" s="520"/>
      <c r="K49" s="520"/>
      <c r="L49" s="520"/>
      <c r="M49" s="520"/>
      <c r="N49" s="520"/>
      <c r="O49" s="520"/>
      <c r="P49" s="520"/>
      <c r="Q49" s="520"/>
      <c r="R49" s="521"/>
    </row>
    <row r="50" spans="1:1025" s="522" customFormat="1" ht="15" customHeight="1" x14ac:dyDescent="0.2">
      <c r="A50" s="1273"/>
      <c r="B50" s="1276"/>
      <c r="C50" s="1279"/>
      <c r="D50" s="1279"/>
      <c r="E50" s="1282"/>
      <c r="F50" s="1279"/>
      <c r="G50" s="1285"/>
      <c r="H50" s="1279"/>
      <c r="I50" s="1279"/>
      <c r="J50" s="520"/>
      <c r="K50" s="520"/>
      <c r="L50" s="520"/>
      <c r="M50" s="520"/>
      <c r="N50" s="520"/>
      <c r="O50" s="520"/>
      <c r="P50" s="520"/>
      <c r="Q50" s="520"/>
      <c r="R50" s="521"/>
    </row>
    <row r="51" spans="1:1025" s="522" customFormat="1" ht="18" customHeight="1" x14ac:dyDescent="0.2">
      <c r="A51" s="1273"/>
      <c r="B51" s="1276"/>
      <c r="C51" s="1279"/>
      <c r="D51" s="1279"/>
      <c r="E51" s="1282"/>
      <c r="F51" s="1279"/>
      <c r="G51" s="1286"/>
      <c r="H51" s="1279"/>
      <c r="I51" s="1279"/>
      <c r="J51" s="520"/>
      <c r="K51" s="520"/>
      <c r="L51" s="520"/>
      <c r="M51" s="520"/>
      <c r="N51" s="520"/>
      <c r="O51" s="520"/>
      <c r="P51" s="520"/>
      <c r="Q51" s="520"/>
      <c r="R51" s="521"/>
    </row>
    <row r="52" spans="1:1025" s="522" customFormat="1" ht="18" customHeight="1" x14ac:dyDescent="0.2">
      <c r="A52" s="1274"/>
      <c r="B52" s="1277"/>
      <c r="C52" s="1280"/>
      <c r="D52" s="1280"/>
      <c r="E52" s="1283"/>
      <c r="F52" s="1280"/>
      <c r="G52" s="523">
        <f>D43</f>
        <v>0.35</v>
      </c>
      <c r="H52" s="1280"/>
      <c r="I52" s="1280"/>
      <c r="J52" s="520"/>
      <c r="K52" s="520"/>
      <c r="L52" s="520"/>
      <c r="M52" s="520"/>
      <c r="N52" s="520"/>
      <c r="O52" s="520"/>
      <c r="P52" s="520"/>
      <c r="Q52" s="520"/>
      <c r="R52" s="521"/>
    </row>
    <row r="53" spans="1:1025" ht="15.95" customHeight="1" x14ac:dyDescent="0.25">
      <c r="A53" s="524">
        <f>A44</f>
        <v>1</v>
      </c>
      <c r="B53" s="539" t="str">
        <f>B44</f>
        <v>Auxiliar de limpeza - Demais Fóruns Eleitorais</v>
      </c>
      <c r="C53" s="559"/>
      <c r="D53" s="540">
        <v>2</v>
      </c>
      <c r="E53" s="540">
        <v>1</v>
      </c>
      <c r="F53" s="527">
        <f>ROUND(((IF(OR(ISBLANK(C53),C53=0),"0",((MAX((C53*(21+E53)*D53)-(6%*C17),0)))-((C53*D53*21)-(C17*6%)))/E53)),2)</f>
        <v>0</v>
      </c>
      <c r="G53" s="527">
        <f>F53*$G$52</f>
        <v>0</v>
      </c>
      <c r="H53" s="528">
        <f>F53+G53</f>
        <v>0</v>
      </c>
      <c r="I53" s="528">
        <f>H53*E53</f>
        <v>0</v>
      </c>
      <c r="J53" s="530"/>
      <c r="K53" s="530"/>
      <c r="L53" s="530"/>
      <c r="M53" s="530"/>
      <c r="N53" s="530"/>
      <c r="O53" s="530"/>
      <c r="P53" s="530"/>
      <c r="Q53" s="530"/>
      <c r="R53" s="512"/>
      <c r="S53" s="513"/>
      <c r="T53" s="513"/>
      <c r="U53" s="513"/>
      <c r="V53" s="513"/>
      <c r="W53" s="513"/>
      <c r="X53" s="513"/>
      <c r="Y53" s="513"/>
      <c r="Z53" s="513"/>
      <c r="AA53" s="513"/>
      <c r="AB53" s="513"/>
      <c r="AC53" s="513"/>
      <c r="AD53" s="513"/>
      <c r="AE53" s="513"/>
      <c r="AF53" s="513"/>
      <c r="AG53" s="513"/>
      <c r="AH53" s="513"/>
      <c r="AI53" s="513"/>
      <c r="AJ53" s="513"/>
      <c r="AK53" s="513"/>
      <c r="AL53" s="513"/>
      <c r="AM53" s="513"/>
      <c r="AN53" s="513"/>
      <c r="AO53" s="513"/>
      <c r="AP53" s="513"/>
      <c r="AQ53" s="513"/>
      <c r="AR53" s="513"/>
      <c r="AS53" s="513"/>
      <c r="AT53" s="513"/>
      <c r="AU53" s="513"/>
      <c r="AV53" s="513"/>
      <c r="AW53" s="513"/>
      <c r="AX53" s="513"/>
      <c r="AY53" s="513"/>
      <c r="AZ53" s="513"/>
      <c r="BA53" s="513"/>
      <c r="BB53" s="513"/>
      <c r="BC53" s="513"/>
      <c r="BD53" s="513"/>
      <c r="BE53" s="513"/>
      <c r="BF53" s="513"/>
      <c r="BG53" s="513"/>
      <c r="BH53" s="513"/>
      <c r="BI53" s="513"/>
      <c r="BJ53" s="513"/>
      <c r="BK53" s="513"/>
      <c r="BL53" s="513"/>
      <c r="BM53" s="513"/>
      <c r="BN53" s="513"/>
      <c r="BO53" s="513"/>
      <c r="BP53" s="513"/>
      <c r="BQ53" s="513"/>
      <c r="BR53" s="513"/>
      <c r="BS53" s="513"/>
      <c r="BT53" s="513"/>
      <c r="BU53" s="513"/>
      <c r="BV53" s="513"/>
      <c r="BW53" s="513"/>
      <c r="BX53" s="513"/>
      <c r="BY53" s="513"/>
      <c r="BZ53" s="513"/>
      <c r="CA53" s="513"/>
      <c r="CB53" s="513"/>
      <c r="CC53" s="513"/>
      <c r="CD53" s="513"/>
      <c r="CE53" s="513"/>
      <c r="CF53" s="513"/>
      <c r="CG53" s="513"/>
      <c r="CH53" s="513"/>
      <c r="CI53" s="513"/>
      <c r="CJ53" s="513"/>
      <c r="CK53" s="513"/>
      <c r="CL53" s="513"/>
      <c r="CM53" s="513"/>
      <c r="CN53" s="513"/>
      <c r="CO53" s="513"/>
      <c r="CP53" s="513"/>
      <c r="CQ53" s="513"/>
      <c r="CR53" s="513"/>
      <c r="CS53" s="513"/>
      <c r="CT53" s="513"/>
      <c r="CU53" s="513"/>
      <c r="CV53" s="513"/>
      <c r="CW53" s="513"/>
      <c r="CX53" s="513"/>
      <c r="CY53" s="513"/>
      <c r="CZ53" s="513"/>
      <c r="DA53" s="513"/>
      <c r="DB53" s="513"/>
      <c r="DC53" s="513"/>
      <c r="DD53" s="513"/>
      <c r="DE53" s="513"/>
      <c r="DF53" s="513"/>
      <c r="DG53" s="513"/>
      <c r="DH53" s="513"/>
      <c r="DI53" s="513"/>
      <c r="DJ53" s="513"/>
      <c r="DK53" s="513"/>
      <c r="DL53" s="513"/>
      <c r="DM53" s="513"/>
      <c r="DN53" s="513"/>
      <c r="DO53" s="513"/>
      <c r="DP53" s="513"/>
      <c r="DQ53" s="513"/>
      <c r="DR53" s="513"/>
      <c r="DS53" s="513"/>
      <c r="DT53" s="513"/>
      <c r="DU53" s="513"/>
      <c r="DV53" s="513"/>
      <c r="DW53" s="513"/>
      <c r="DX53" s="513"/>
      <c r="DY53" s="513"/>
      <c r="DZ53" s="513"/>
      <c r="EA53" s="513"/>
      <c r="EB53" s="513"/>
      <c r="EC53" s="513"/>
      <c r="ED53" s="513"/>
      <c r="EE53" s="513"/>
      <c r="EF53" s="513"/>
      <c r="EG53" s="513"/>
      <c r="EH53" s="513"/>
      <c r="EI53" s="513"/>
      <c r="EJ53" s="513"/>
      <c r="EK53" s="513"/>
      <c r="EL53" s="513"/>
      <c r="EM53" s="513"/>
      <c r="EN53" s="513"/>
      <c r="EO53" s="513"/>
      <c r="EP53" s="513"/>
      <c r="EQ53" s="513"/>
      <c r="ER53" s="513"/>
      <c r="ES53" s="513"/>
      <c r="ET53" s="513"/>
      <c r="EU53" s="513"/>
      <c r="EV53" s="513"/>
      <c r="EW53" s="513"/>
      <c r="EX53" s="513"/>
      <c r="EY53" s="513"/>
      <c r="EZ53" s="513"/>
      <c r="FA53" s="513"/>
      <c r="FB53" s="513"/>
      <c r="FC53" s="513"/>
      <c r="FD53" s="513"/>
      <c r="FE53" s="513"/>
      <c r="FF53" s="513"/>
      <c r="FG53" s="513"/>
      <c r="FH53" s="513"/>
      <c r="FI53" s="513"/>
      <c r="FJ53" s="513"/>
      <c r="FK53" s="513"/>
      <c r="FL53" s="513"/>
      <c r="FM53" s="513"/>
      <c r="FN53" s="513"/>
      <c r="FO53" s="513"/>
      <c r="FP53" s="513"/>
      <c r="FQ53" s="513"/>
      <c r="FR53" s="513"/>
      <c r="FS53" s="513"/>
      <c r="FT53" s="513"/>
      <c r="FU53" s="513"/>
      <c r="FV53" s="513"/>
      <c r="FW53" s="513"/>
      <c r="FX53" s="513"/>
      <c r="FY53" s="513"/>
      <c r="FZ53" s="513"/>
      <c r="GA53" s="513"/>
      <c r="GB53" s="513"/>
      <c r="GC53" s="513"/>
      <c r="GD53" s="513"/>
      <c r="GE53" s="513"/>
      <c r="GF53" s="513"/>
      <c r="GG53" s="513"/>
      <c r="GH53" s="513"/>
      <c r="GI53" s="513"/>
      <c r="GJ53" s="513"/>
      <c r="GK53" s="513"/>
      <c r="GL53" s="513"/>
      <c r="GM53" s="513"/>
      <c r="GN53" s="513"/>
      <c r="GO53" s="513"/>
      <c r="GP53" s="513"/>
      <c r="GQ53" s="513"/>
      <c r="GR53" s="513"/>
      <c r="GS53" s="513"/>
      <c r="GT53" s="513"/>
      <c r="GU53" s="513"/>
      <c r="GV53" s="513"/>
      <c r="GW53" s="513"/>
      <c r="GX53" s="513"/>
      <c r="GY53" s="513"/>
      <c r="GZ53" s="513"/>
      <c r="HA53" s="513"/>
      <c r="HB53" s="513"/>
      <c r="HC53" s="513"/>
      <c r="HD53" s="513"/>
      <c r="HE53" s="513"/>
      <c r="HF53" s="513"/>
      <c r="HG53" s="513"/>
      <c r="HH53" s="513"/>
      <c r="HI53" s="513"/>
      <c r="HJ53" s="513"/>
      <c r="HK53" s="513"/>
      <c r="HL53" s="513"/>
      <c r="HM53" s="513"/>
      <c r="HN53" s="513"/>
      <c r="HO53" s="513"/>
      <c r="HP53" s="513"/>
      <c r="HQ53" s="513"/>
      <c r="HR53" s="513"/>
      <c r="HS53" s="513"/>
      <c r="HT53" s="513"/>
      <c r="HU53" s="513"/>
      <c r="HV53" s="513"/>
      <c r="HW53" s="513"/>
      <c r="HX53" s="513"/>
      <c r="HY53" s="513"/>
      <c r="HZ53" s="513"/>
      <c r="IA53" s="513"/>
      <c r="IB53" s="513"/>
      <c r="IC53" s="513"/>
      <c r="ID53" s="513"/>
      <c r="IE53" s="513"/>
      <c r="IF53" s="513"/>
      <c r="IG53" s="513"/>
      <c r="IH53" s="513"/>
      <c r="II53" s="513"/>
      <c r="IJ53" s="513"/>
      <c r="IK53" s="513"/>
      <c r="IL53" s="513"/>
      <c r="IM53" s="513"/>
      <c r="IN53" s="513"/>
      <c r="IO53" s="513"/>
      <c r="IP53" s="513"/>
      <c r="IQ53" s="513"/>
      <c r="IR53" s="513"/>
      <c r="IS53" s="513"/>
      <c r="IT53" s="513"/>
      <c r="IU53" s="513"/>
      <c r="IV53" s="513"/>
      <c r="IW53" s="513"/>
      <c r="IX53" s="513"/>
      <c r="IY53" s="513"/>
      <c r="IZ53" s="513"/>
      <c r="JA53" s="513"/>
      <c r="JB53" s="513"/>
      <c r="JC53" s="513"/>
      <c r="JD53" s="513"/>
      <c r="JE53" s="513"/>
      <c r="JF53" s="513"/>
      <c r="JG53" s="513"/>
      <c r="JH53" s="513"/>
      <c r="JI53" s="513"/>
      <c r="JJ53" s="513"/>
      <c r="JK53" s="513"/>
      <c r="JL53" s="513"/>
      <c r="JM53" s="513"/>
      <c r="JN53" s="513"/>
      <c r="JO53" s="513"/>
      <c r="JP53" s="513"/>
      <c r="JQ53" s="513"/>
      <c r="JR53" s="513"/>
      <c r="JS53" s="513"/>
      <c r="JT53" s="513"/>
      <c r="JU53" s="513"/>
      <c r="JV53" s="513"/>
      <c r="JW53" s="513"/>
      <c r="JX53" s="513"/>
      <c r="JY53" s="513"/>
      <c r="JZ53" s="513"/>
      <c r="KA53" s="513"/>
      <c r="KB53" s="513"/>
      <c r="KC53" s="513"/>
      <c r="KD53" s="513"/>
      <c r="KE53" s="513"/>
      <c r="KF53" s="513"/>
      <c r="KG53" s="513"/>
      <c r="KH53" s="513"/>
      <c r="KI53" s="513"/>
      <c r="KJ53" s="513"/>
      <c r="KK53" s="513"/>
      <c r="KL53" s="513"/>
      <c r="KM53" s="513"/>
      <c r="KN53" s="513"/>
      <c r="KO53" s="513"/>
      <c r="KP53" s="513"/>
      <c r="KQ53" s="513"/>
      <c r="KR53" s="513"/>
      <c r="KS53" s="513"/>
      <c r="KT53" s="513"/>
      <c r="KU53" s="513"/>
      <c r="KV53" s="513"/>
      <c r="KW53" s="513"/>
      <c r="KX53" s="513"/>
      <c r="KY53" s="513"/>
      <c r="KZ53" s="513"/>
      <c r="LA53" s="513"/>
      <c r="LB53" s="513"/>
      <c r="LC53" s="513"/>
      <c r="LD53" s="513"/>
      <c r="LE53" s="513"/>
      <c r="LF53" s="513"/>
      <c r="LG53" s="513"/>
      <c r="LH53" s="513"/>
      <c r="LI53" s="513"/>
      <c r="LJ53" s="513"/>
      <c r="LK53" s="513"/>
      <c r="LL53" s="513"/>
      <c r="LM53" s="513"/>
      <c r="LN53" s="513"/>
      <c r="LO53" s="513"/>
      <c r="LP53" s="513"/>
      <c r="LQ53" s="513"/>
      <c r="LR53" s="513"/>
      <c r="LS53" s="513"/>
      <c r="LT53" s="513"/>
      <c r="LU53" s="513"/>
      <c r="LV53" s="513"/>
      <c r="LW53" s="513"/>
      <c r="LX53" s="513"/>
      <c r="LY53" s="513"/>
      <c r="LZ53" s="513"/>
      <c r="MA53" s="513"/>
      <c r="MB53" s="513"/>
      <c r="MC53" s="513"/>
      <c r="MD53" s="513"/>
      <c r="ME53" s="513"/>
      <c r="MF53" s="513"/>
      <c r="MG53" s="513"/>
      <c r="MH53" s="513"/>
      <c r="MI53" s="513"/>
      <c r="MJ53" s="513"/>
      <c r="MK53" s="513"/>
      <c r="ML53" s="513"/>
      <c r="MM53" s="513"/>
      <c r="MN53" s="513"/>
      <c r="MO53" s="513"/>
      <c r="MP53" s="513"/>
      <c r="MQ53" s="513"/>
      <c r="MR53" s="513"/>
      <c r="MS53" s="513"/>
      <c r="MT53" s="513"/>
      <c r="MU53" s="513"/>
      <c r="MV53" s="513"/>
      <c r="MW53" s="513"/>
      <c r="MX53" s="513"/>
      <c r="MY53" s="513"/>
      <c r="MZ53" s="513"/>
      <c r="NA53" s="513"/>
      <c r="NB53" s="513"/>
      <c r="NC53" s="513"/>
      <c r="ND53" s="513"/>
      <c r="NE53" s="513"/>
      <c r="NF53" s="513"/>
      <c r="NG53" s="513"/>
      <c r="NH53" s="513"/>
      <c r="NI53" s="513"/>
      <c r="NJ53" s="513"/>
      <c r="NK53" s="513"/>
      <c r="NL53" s="513"/>
      <c r="NM53" s="513"/>
      <c r="NN53" s="513"/>
      <c r="NO53" s="513"/>
      <c r="NP53" s="513"/>
      <c r="NQ53" s="513"/>
      <c r="NR53" s="513"/>
      <c r="NS53" s="513"/>
      <c r="NT53" s="513"/>
      <c r="NU53" s="513"/>
      <c r="NV53" s="513"/>
      <c r="NW53" s="513"/>
      <c r="NX53" s="513"/>
      <c r="NY53" s="513"/>
      <c r="NZ53" s="513"/>
      <c r="OA53" s="513"/>
      <c r="OB53" s="513"/>
      <c r="OC53" s="513"/>
      <c r="OD53" s="513"/>
      <c r="OE53" s="513"/>
      <c r="OF53" s="513"/>
      <c r="OG53" s="513"/>
      <c r="OH53" s="513"/>
      <c r="OI53" s="513"/>
      <c r="OJ53" s="513"/>
      <c r="OK53" s="513"/>
      <c r="OL53" s="513"/>
      <c r="OM53" s="513"/>
      <c r="ON53" s="513"/>
      <c r="OO53" s="513"/>
      <c r="OP53" s="513"/>
      <c r="OQ53" s="513"/>
      <c r="OR53" s="513"/>
      <c r="OS53" s="513"/>
      <c r="OT53" s="513"/>
      <c r="OU53" s="513"/>
      <c r="OV53" s="513"/>
      <c r="OW53" s="513"/>
      <c r="OX53" s="513"/>
      <c r="OY53" s="513"/>
      <c r="OZ53" s="513"/>
      <c r="PA53" s="513"/>
      <c r="PB53" s="513"/>
      <c r="PC53" s="513"/>
      <c r="PD53" s="513"/>
      <c r="PE53" s="513"/>
      <c r="PF53" s="513"/>
      <c r="PG53" s="513"/>
      <c r="PH53" s="513"/>
      <c r="PI53" s="513"/>
      <c r="PJ53" s="513"/>
      <c r="PK53" s="513"/>
      <c r="PL53" s="513"/>
      <c r="PM53" s="513"/>
      <c r="PN53" s="513"/>
      <c r="PO53" s="513"/>
      <c r="PP53" s="513"/>
      <c r="PQ53" s="513"/>
      <c r="PR53" s="513"/>
      <c r="PS53" s="513"/>
      <c r="PT53" s="513"/>
      <c r="PU53" s="513"/>
      <c r="PV53" s="513"/>
      <c r="PW53" s="513"/>
      <c r="PX53" s="513"/>
      <c r="PY53" s="513"/>
      <c r="PZ53" s="513"/>
      <c r="QA53" s="513"/>
      <c r="QB53" s="513"/>
      <c r="QC53" s="513"/>
      <c r="QD53" s="513"/>
      <c r="QE53" s="513"/>
      <c r="QF53" s="513"/>
      <c r="QG53" s="513"/>
      <c r="QH53" s="513"/>
      <c r="QI53" s="513"/>
      <c r="QJ53" s="513"/>
      <c r="QK53" s="513"/>
      <c r="QL53" s="513"/>
      <c r="QM53" s="513"/>
      <c r="QN53" s="513"/>
      <c r="QO53" s="513"/>
      <c r="QP53" s="513"/>
      <c r="QQ53" s="513"/>
      <c r="QR53" s="513"/>
      <c r="QS53" s="513"/>
      <c r="QT53" s="513"/>
      <c r="QU53" s="513"/>
      <c r="QV53" s="513"/>
      <c r="QW53" s="513"/>
      <c r="QX53" s="513"/>
      <c r="QY53" s="513"/>
      <c r="QZ53" s="513"/>
      <c r="RA53" s="513"/>
      <c r="RB53" s="513"/>
      <c r="RC53" s="513"/>
      <c r="RD53" s="513"/>
      <c r="RE53" s="513"/>
      <c r="RF53" s="513"/>
      <c r="RG53" s="513"/>
      <c r="RH53" s="513"/>
      <c r="RI53" s="513"/>
      <c r="RJ53" s="513"/>
      <c r="RK53" s="513"/>
      <c r="RL53" s="513"/>
      <c r="RM53" s="513"/>
      <c r="RN53" s="513"/>
      <c r="RO53" s="513"/>
      <c r="RP53" s="513"/>
      <c r="RQ53" s="513"/>
      <c r="RR53" s="513"/>
      <c r="RS53" s="513"/>
      <c r="RT53" s="513"/>
      <c r="RU53" s="513"/>
      <c r="RV53" s="513"/>
      <c r="RW53" s="513"/>
      <c r="RX53" s="513"/>
      <c r="RY53" s="513"/>
      <c r="RZ53" s="513"/>
      <c r="SA53" s="513"/>
      <c r="SB53" s="513"/>
      <c r="SC53" s="513"/>
      <c r="SD53" s="513"/>
      <c r="SE53" s="513"/>
      <c r="SF53" s="513"/>
      <c r="SG53" s="513"/>
      <c r="SH53" s="513"/>
      <c r="SI53" s="513"/>
      <c r="SJ53" s="513"/>
      <c r="SK53" s="513"/>
      <c r="SL53" s="513"/>
      <c r="SM53" s="513"/>
      <c r="SN53" s="513"/>
      <c r="SO53" s="513"/>
      <c r="SP53" s="513"/>
      <c r="SQ53" s="513"/>
      <c r="SR53" s="513"/>
      <c r="SS53" s="513"/>
      <c r="ST53" s="513"/>
      <c r="SU53" s="513"/>
      <c r="SV53" s="513"/>
      <c r="SW53" s="513"/>
      <c r="SX53" s="513"/>
      <c r="SY53" s="513"/>
      <c r="SZ53" s="513"/>
      <c r="TA53" s="513"/>
      <c r="TB53" s="513"/>
      <c r="TC53" s="513"/>
      <c r="TD53" s="513"/>
      <c r="TE53" s="513"/>
      <c r="TF53" s="513"/>
      <c r="TG53" s="513"/>
      <c r="TH53" s="513"/>
      <c r="TI53" s="513"/>
      <c r="TJ53" s="513"/>
      <c r="TK53" s="513"/>
      <c r="TL53" s="513"/>
      <c r="TM53" s="513"/>
      <c r="TN53" s="513"/>
      <c r="TO53" s="513"/>
      <c r="TP53" s="513"/>
      <c r="TQ53" s="513"/>
      <c r="TR53" s="513"/>
      <c r="TS53" s="513"/>
      <c r="TT53" s="513"/>
      <c r="TU53" s="513"/>
      <c r="TV53" s="513"/>
      <c r="TW53" s="513"/>
      <c r="TX53" s="513"/>
      <c r="TY53" s="513"/>
      <c r="TZ53" s="513"/>
      <c r="UA53" s="513"/>
      <c r="UB53" s="513"/>
      <c r="UC53" s="513"/>
      <c r="UD53" s="513"/>
      <c r="UE53" s="513"/>
      <c r="UF53" s="513"/>
      <c r="UG53" s="513"/>
      <c r="UH53" s="513"/>
      <c r="UI53" s="513"/>
      <c r="UJ53" s="513"/>
      <c r="UK53" s="513"/>
      <c r="UL53" s="513"/>
      <c r="UM53" s="513"/>
      <c r="UN53" s="513"/>
      <c r="UO53" s="513"/>
      <c r="UP53" s="513"/>
      <c r="UQ53" s="513"/>
      <c r="UR53" s="513"/>
      <c r="US53" s="513"/>
      <c r="UT53" s="513"/>
      <c r="UU53" s="513"/>
      <c r="UV53" s="513"/>
      <c r="UW53" s="513"/>
      <c r="UX53" s="513"/>
      <c r="UY53" s="513"/>
      <c r="UZ53" s="513"/>
      <c r="VA53" s="513"/>
      <c r="VB53" s="513"/>
      <c r="VC53" s="513"/>
      <c r="VD53" s="513"/>
      <c r="VE53" s="513"/>
      <c r="VF53" s="513"/>
      <c r="VG53" s="513"/>
      <c r="VH53" s="513"/>
      <c r="VI53" s="513"/>
      <c r="VJ53" s="513"/>
      <c r="VK53" s="513"/>
      <c r="VL53" s="513"/>
      <c r="VM53" s="513"/>
      <c r="VN53" s="513"/>
      <c r="VO53" s="513"/>
      <c r="VP53" s="513"/>
      <c r="VQ53" s="513"/>
      <c r="VR53" s="513"/>
      <c r="VS53" s="513"/>
      <c r="VT53" s="513"/>
      <c r="VU53" s="513"/>
      <c r="VV53" s="513"/>
      <c r="VW53" s="513"/>
      <c r="VX53" s="513"/>
      <c r="VY53" s="513"/>
      <c r="VZ53" s="513"/>
      <c r="WA53" s="513"/>
      <c r="WB53" s="513"/>
      <c r="WC53" s="513"/>
      <c r="WD53" s="513"/>
      <c r="WE53" s="513"/>
      <c r="WF53" s="513"/>
      <c r="WG53" s="513"/>
      <c r="WH53" s="513"/>
      <c r="WI53" s="513"/>
      <c r="WJ53" s="513"/>
      <c r="WK53" s="513"/>
      <c r="WL53" s="513"/>
      <c r="WM53" s="513"/>
      <c r="WN53" s="513"/>
      <c r="WO53" s="513"/>
      <c r="WP53" s="513"/>
      <c r="WQ53" s="513"/>
      <c r="WR53" s="513"/>
      <c r="WS53" s="513"/>
      <c r="WT53" s="513"/>
      <c r="WU53" s="513"/>
      <c r="WV53" s="513"/>
      <c r="WW53" s="513"/>
      <c r="WX53" s="513"/>
      <c r="WY53" s="513"/>
      <c r="WZ53" s="513"/>
      <c r="XA53" s="513"/>
      <c r="XB53" s="513"/>
      <c r="XC53" s="513"/>
      <c r="XD53" s="513"/>
      <c r="XE53" s="513"/>
      <c r="XF53" s="513"/>
      <c r="XG53" s="513"/>
      <c r="XH53" s="513"/>
      <c r="XI53" s="513"/>
      <c r="XJ53" s="513"/>
      <c r="XK53" s="513"/>
      <c r="XL53" s="513"/>
      <c r="XM53" s="513"/>
      <c r="XN53" s="513"/>
      <c r="XO53" s="513"/>
      <c r="XP53" s="513"/>
      <c r="XQ53" s="513"/>
      <c r="XR53" s="513"/>
      <c r="XS53" s="513"/>
      <c r="XT53" s="513"/>
      <c r="XU53" s="513"/>
      <c r="XV53" s="513"/>
      <c r="XW53" s="513"/>
      <c r="XX53" s="513"/>
      <c r="XY53" s="513"/>
      <c r="XZ53" s="513"/>
      <c r="YA53" s="513"/>
      <c r="YB53" s="513"/>
      <c r="YC53" s="513"/>
      <c r="YD53" s="513"/>
      <c r="YE53" s="513"/>
      <c r="YF53" s="513"/>
      <c r="YG53" s="513"/>
      <c r="YH53" s="513"/>
      <c r="YI53" s="513"/>
      <c r="YJ53" s="513"/>
      <c r="YK53" s="513"/>
      <c r="YL53" s="513"/>
      <c r="YM53" s="513"/>
      <c r="YN53" s="513"/>
      <c r="YO53" s="513"/>
      <c r="YP53" s="513"/>
      <c r="YQ53" s="513"/>
      <c r="YR53" s="513"/>
      <c r="YS53" s="513"/>
      <c r="YT53" s="513"/>
      <c r="YU53" s="513"/>
      <c r="YV53" s="513"/>
      <c r="YW53" s="513"/>
      <c r="YX53" s="513"/>
      <c r="YY53" s="513"/>
      <c r="YZ53" s="513"/>
      <c r="ZA53" s="513"/>
      <c r="ZB53" s="513"/>
      <c r="ZC53" s="513"/>
      <c r="ZD53" s="513"/>
      <c r="ZE53" s="513"/>
      <c r="ZF53" s="513"/>
      <c r="ZG53" s="513"/>
      <c r="ZH53" s="513"/>
      <c r="ZI53" s="513"/>
      <c r="ZJ53" s="513"/>
      <c r="ZK53" s="513"/>
      <c r="ZL53" s="513"/>
      <c r="ZM53" s="513"/>
      <c r="ZN53" s="513"/>
      <c r="ZO53" s="513"/>
      <c r="ZP53" s="513"/>
      <c r="ZQ53" s="513"/>
      <c r="ZR53" s="513"/>
      <c r="ZS53" s="513"/>
      <c r="ZT53" s="513"/>
      <c r="ZU53" s="513"/>
      <c r="ZV53" s="513"/>
      <c r="ZW53" s="513"/>
      <c r="ZX53" s="513"/>
      <c r="ZY53" s="513"/>
      <c r="ZZ53" s="513"/>
      <c r="AAA53" s="513"/>
      <c r="AAB53" s="513"/>
      <c r="AAC53" s="513"/>
      <c r="AAD53" s="513"/>
      <c r="AAE53" s="513"/>
      <c r="AAF53" s="513"/>
      <c r="AAG53" s="513"/>
      <c r="AAH53" s="513"/>
      <c r="AAI53" s="513"/>
      <c r="AAJ53" s="513"/>
      <c r="AAK53" s="513"/>
      <c r="AAL53" s="513"/>
      <c r="AAM53" s="513"/>
      <c r="AAN53" s="513"/>
      <c r="AAO53" s="513"/>
      <c r="AAP53" s="513"/>
      <c r="AAQ53" s="513"/>
      <c r="AAR53" s="513"/>
      <c r="AAS53" s="513"/>
      <c r="AAT53" s="513"/>
      <c r="AAU53" s="513"/>
      <c r="AAV53" s="513"/>
      <c r="AAW53" s="513"/>
      <c r="AAX53" s="513"/>
      <c r="AAY53" s="513"/>
      <c r="AAZ53" s="513"/>
      <c r="ABA53" s="513"/>
      <c r="ABB53" s="513"/>
      <c r="ABC53" s="513"/>
      <c r="ABD53" s="513"/>
      <c r="ABE53" s="513"/>
      <c r="ABF53" s="513"/>
      <c r="ABG53" s="513"/>
      <c r="ABH53" s="513"/>
      <c r="ABI53" s="513"/>
      <c r="ABJ53" s="513"/>
      <c r="ABK53" s="513"/>
      <c r="ABL53" s="513"/>
      <c r="ABM53" s="513"/>
      <c r="ABN53" s="513"/>
      <c r="ABO53" s="513"/>
      <c r="ABP53" s="513"/>
      <c r="ABQ53" s="513"/>
      <c r="ABR53" s="513"/>
      <c r="ABS53" s="513"/>
      <c r="ABT53" s="513"/>
      <c r="ABU53" s="513"/>
      <c r="ABV53" s="513"/>
      <c r="ABW53" s="513"/>
      <c r="ABX53" s="513"/>
      <c r="ABY53" s="513"/>
      <c r="ABZ53" s="513"/>
      <c r="ACA53" s="513"/>
      <c r="ACB53" s="513"/>
      <c r="ACC53" s="513"/>
      <c r="ACD53" s="513"/>
      <c r="ACE53" s="513"/>
      <c r="ACF53" s="513"/>
      <c r="ACG53" s="513"/>
      <c r="ACH53" s="513"/>
      <c r="ACI53" s="513"/>
      <c r="ACJ53" s="513"/>
      <c r="ACK53" s="513"/>
      <c r="ACL53" s="513"/>
      <c r="ACM53" s="513"/>
      <c r="ACN53" s="513"/>
      <c r="ACO53" s="513"/>
      <c r="ACP53" s="513"/>
      <c r="ACQ53" s="513"/>
      <c r="ACR53" s="513"/>
      <c r="ACS53" s="513"/>
      <c r="ACT53" s="513"/>
      <c r="ACU53" s="513"/>
      <c r="ACV53" s="513"/>
      <c r="ACW53" s="513"/>
      <c r="ACX53" s="513"/>
      <c r="ACY53" s="513"/>
      <c r="ACZ53" s="513"/>
      <c r="ADA53" s="513"/>
      <c r="ADB53" s="513"/>
      <c r="ADC53" s="513"/>
      <c r="ADD53" s="513"/>
      <c r="ADE53" s="513"/>
      <c r="ADF53" s="513"/>
      <c r="ADG53" s="513"/>
      <c r="ADH53" s="513"/>
      <c r="ADI53" s="513"/>
      <c r="ADJ53" s="513"/>
      <c r="ADK53" s="513"/>
      <c r="ADL53" s="513"/>
      <c r="ADM53" s="513"/>
      <c r="ADN53" s="513"/>
      <c r="ADO53" s="513"/>
      <c r="ADP53" s="513"/>
      <c r="ADQ53" s="513"/>
      <c r="ADR53" s="513"/>
      <c r="ADS53" s="513"/>
      <c r="ADT53" s="513"/>
      <c r="ADU53" s="513"/>
      <c r="ADV53" s="513"/>
      <c r="ADW53" s="513"/>
      <c r="ADX53" s="513"/>
      <c r="ADY53" s="513"/>
      <c r="ADZ53" s="513"/>
      <c r="AEA53" s="513"/>
      <c r="AEB53" s="513"/>
      <c r="AEC53" s="513"/>
      <c r="AED53" s="513"/>
      <c r="AEE53" s="513"/>
      <c r="AEF53" s="513"/>
      <c r="AEG53" s="513"/>
      <c r="AEH53" s="513"/>
      <c r="AEI53" s="513"/>
      <c r="AEJ53" s="513"/>
      <c r="AEK53" s="513"/>
      <c r="AEL53" s="513"/>
      <c r="AEM53" s="513"/>
      <c r="AEN53" s="513"/>
      <c r="AEO53" s="513"/>
      <c r="AEP53" s="513"/>
      <c r="AEQ53" s="513"/>
      <c r="AER53" s="513"/>
      <c r="AES53" s="513"/>
      <c r="AET53" s="513"/>
      <c r="AEU53" s="513"/>
      <c r="AEV53" s="513"/>
      <c r="AEW53" s="513"/>
      <c r="AEX53" s="513"/>
      <c r="AEY53" s="513"/>
      <c r="AEZ53" s="513"/>
      <c r="AFA53" s="513"/>
      <c r="AFB53" s="513"/>
      <c r="AFC53" s="513"/>
      <c r="AFD53" s="513"/>
      <c r="AFE53" s="513"/>
      <c r="AFF53" s="513"/>
      <c r="AFG53" s="513"/>
      <c r="AFH53" s="513"/>
      <c r="AFI53" s="513"/>
      <c r="AFJ53" s="513"/>
      <c r="AFK53" s="513"/>
      <c r="AFL53" s="513"/>
      <c r="AFM53" s="513"/>
      <c r="AFN53" s="513"/>
      <c r="AFO53" s="513"/>
      <c r="AFP53" s="513"/>
      <c r="AFQ53" s="513"/>
      <c r="AFR53" s="513"/>
      <c r="AFS53" s="513"/>
      <c r="AFT53" s="513"/>
      <c r="AFU53" s="513"/>
      <c r="AFV53" s="513"/>
      <c r="AFW53" s="513"/>
      <c r="AFX53" s="513"/>
      <c r="AFY53" s="513"/>
      <c r="AFZ53" s="513"/>
      <c r="AGA53" s="513"/>
      <c r="AGB53" s="513"/>
      <c r="AGC53" s="513"/>
      <c r="AGD53" s="513"/>
      <c r="AGE53" s="513"/>
      <c r="AGF53" s="513"/>
      <c r="AGG53" s="513"/>
      <c r="AGH53" s="513"/>
      <c r="AGI53" s="513"/>
      <c r="AGJ53" s="513"/>
      <c r="AGK53" s="513"/>
      <c r="AGL53" s="513"/>
      <c r="AGM53" s="513"/>
      <c r="AGN53" s="513"/>
      <c r="AGO53" s="513"/>
      <c r="AGP53" s="513"/>
      <c r="AGQ53" s="513"/>
      <c r="AGR53" s="513"/>
      <c r="AGS53" s="513"/>
      <c r="AGT53" s="513"/>
      <c r="AGU53" s="513"/>
      <c r="AGV53" s="513"/>
      <c r="AGW53" s="513"/>
      <c r="AGX53" s="513"/>
      <c r="AGY53" s="513"/>
      <c r="AGZ53" s="513"/>
      <c r="AHA53" s="513"/>
      <c r="AHB53" s="513"/>
      <c r="AHC53" s="513"/>
      <c r="AHD53" s="513"/>
      <c r="AHE53" s="513"/>
      <c r="AHF53" s="513"/>
      <c r="AHG53" s="513"/>
      <c r="AHH53" s="513"/>
      <c r="AHI53" s="513"/>
      <c r="AHJ53" s="513"/>
      <c r="AHK53" s="513"/>
      <c r="AHL53" s="513"/>
      <c r="AHM53" s="513"/>
      <c r="AHN53" s="513"/>
      <c r="AHO53" s="513"/>
      <c r="AHP53" s="513"/>
      <c r="AHQ53" s="513"/>
      <c r="AHR53" s="513"/>
      <c r="AHS53" s="513"/>
      <c r="AHT53" s="513"/>
      <c r="AHU53" s="513"/>
      <c r="AHV53" s="513"/>
      <c r="AHW53" s="513"/>
      <c r="AHX53" s="513"/>
      <c r="AHY53" s="513"/>
      <c r="AHZ53" s="513"/>
      <c r="AIA53" s="513"/>
      <c r="AIB53" s="513"/>
      <c r="AIC53" s="513"/>
      <c r="AID53" s="513"/>
      <c r="AIE53" s="513"/>
      <c r="AIF53" s="513"/>
      <c r="AIG53" s="513"/>
      <c r="AIH53" s="513"/>
      <c r="AII53" s="513"/>
      <c r="AIJ53" s="513"/>
      <c r="AIK53" s="513"/>
      <c r="AIL53" s="513"/>
      <c r="AIM53" s="513"/>
      <c r="AIN53" s="513"/>
      <c r="AIO53" s="513"/>
      <c r="AIP53" s="513"/>
      <c r="AIQ53" s="513"/>
      <c r="AIR53" s="513"/>
      <c r="AIS53" s="513"/>
      <c r="AIT53" s="513"/>
      <c r="AIU53" s="513"/>
      <c r="AIV53" s="513"/>
      <c r="AIW53" s="513"/>
      <c r="AIX53" s="513"/>
      <c r="AIY53" s="513"/>
      <c r="AIZ53" s="513"/>
      <c r="AJA53" s="513"/>
      <c r="AJB53" s="513"/>
      <c r="AJC53" s="513"/>
      <c r="AJD53" s="513"/>
      <c r="AJE53" s="513"/>
      <c r="AJF53" s="513"/>
      <c r="AJG53" s="513"/>
      <c r="AJH53" s="513"/>
      <c r="AJI53" s="513"/>
      <c r="AJJ53" s="513"/>
      <c r="AJK53" s="513"/>
      <c r="AJL53" s="513"/>
      <c r="AJM53" s="513"/>
      <c r="AJN53" s="513"/>
      <c r="AJO53" s="513"/>
      <c r="AJP53" s="513"/>
      <c r="AJQ53" s="513"/>
      <c r="AJR53" s="513"/>
      <c r="AJS53" s="513"/>
      <c r="AJT53" s="513"/>
      <c r="AJU53" s="513"/>
      <c r="AJV53" s="513"/>
      <c r="AJW53" s="513"/>
      <c r="AJX53" s="513"/>
      <c r="AJY53" s="513"/>
      <c r="AJZ53" s="513"/>
      <c r="AKA53" s="513"/>
      <c r="AKB53" s="513"/>
      <c r="AKC53" s="513"/>
      <c r="AKD53" s="513"/>
      <c r="AKE53" s="513"/>
      <c r="AKF53" s="513"/>
      <c r="AKG53" s="513"/>
      <c r="AKH53" s="513"/>
      <c r="AKI53" s="513"/>
      <c r="AKJ53" s="513"/>
      <c r="AKK53" s="513"/>
      <c r="AKL53" s="513"/>
      <c r="AKM53" s="513"/>
      <c r="AKN53" s="513"/>
      <c r="AKO53" s="513"/>
      <c r="AKP53" s="513"/>
      <c r="AKQ53" s="513"/>
      <c r="AKR53" s="513"/>
      <c r="AKS53" s="513"/>
      <c r="AKT53" s="513"/>
      <c r="AKU53" s="513"/>
      <c r="AKV53" s="513"/>
      <c r="AKW53" s="513"/>
      <c r="AKX53" s="513"/>
      <c r="AKY53" s="513"/>
      <c r="AKZ53" s="513"/>
      <c r="ALA53" s="513"/>
      <c r="ALB53" s="513"/>
      <c r="ALC53" s="513"/>
      <c r="ALD53" s="513"/>
      <c r="ALE53" s="513"/>
      <c r="ALF53" s="513"/>
      <c r="ALG53" s="513"/>
      <c r="ALH53" s="513"/>
      <c r="ALI53" s="513"/>
      <c r="ALJ53" s="513"/>
      <c r="ALK53" s="513"/>
      <c r="ALL53" s="513"/>
      <c r="ALM53" s="513"/>
      <c r="ALN53" s="513"/>
      <c r="ALO53" s="513"/>
      <c r="ALP53" s="513"/>
      <c r="ALQ53" s="513"/>
      <c r="ALR53" s="513"/>
      <c r="ALS53" s="513"/>
      <c r="ALT53" s="513"/>
      <c r="ALU53" s="513"/>
      <c r="ALV53" s="513"/>
      <c r="ALW53" s="513"/>
      <c r="ALX53" s="513"/>
      <c r="ALY53" s="513"/>
      <c r="ALZ53" s="513"/>
      <c r="AMA53" s="513"/>
      <c r="AMB53" s="513"/>
      <c r="AMC53" s="513"/>
      <c r="AMD53" s="513"/>
      <c r="AME53" s="513"/>
      <c r="AMF53" s="513"/>
      <c r="AMG53" s="513"/>
      <c r="AMH53" s="513"/>
      <c r="AMI53" s="513"/>
      <c r="AMJ53" s="513"/>
      <c r="AMK53" s="513"/>
    </row>
    <row r="54" spans="1:1025" ht="15.95" customHeight="1" x14ac:dyDescent="0.25">
      <c r="A54" s="524">
        <f t="shared" ref="A54:B55" si="9">A45</f>
        <v>2</v>
      </c>
      <c r="B54" s="539" t="str">
        <f t="shared" si="9"/>
        <v>Auxiliar de limpeza - Fórum Eleitoral de PARANAVAÍ</v>
      </c>
      <c r="C54" s="764">
        <f>V.T.!C47</f>
        <v>5.0999999999999996</v>
      </c>
      <c r="D54" s="765">
        <f>V.T.!D47</f>
        <v>2</v>
      </c>
      <c r="E54" s="540">
        <v>1</v>
      </c>
      <c r="F54" s="527">
        <f>ROUND(((IF(OR(ISBLANK(C54),C54=0),"0",((MAX((C54*(((21*V.T.!D49)/2)+E54)*D54)-(6%*C18),0)))-V.T.!G47)/E54)),2)</f>
        <v>10.199999999999999</v>
      </c>
      <c r="G54" s="527">
        <f t="shared" ref="G54:G55" si="10">F54*$G$52</f>
        <v>3.5699999999999994</v>
      </c>
      <c r="H54" s="528">
        <f t="shared" ref="H54:H55" si="11">F54+G54</f>
        <v>13.77</v>
      </c>
      <c r="I54" s="528">
        <f t="shared" ref="I54:I55" si="12">H54*E54</f>
        <v>13.77</v>
      </c>
      <c r="J54" s="530"/>
      <c r="K54" s="530"/>
      <c r="L54" s="530"/>
      <c r="M54" s="530"/>
      <c r="N54" s="530"/>
      <c r="O54" s="530"/>
      <c r="P54" s="530"/>
      <c r="Q54" s="530"/>
      <c r="R54" s="512"/>
      <c r="S54" s="513"/>
      <c r="T54" s="513"/>
      <c r="U54" s="513"/>
      <c r="V54" s="513"/>
      <c r="W54" s="513"/>
      <c r="X54" s="513"/>
      <c r="Y54" s="513"/>
      <c r="Z54" s="513"/>
      <c r="AA54" s="513"/>
      <c r="AB54" s="513"/>
      <c r="AC54" s="513"/>
      <c r="AD54" s="513"/>
      <c r="AE54" s="513"/>
      <c r="AF54" s="513"/>
      <c r="AG54" s="513"/>
      <c r="AH54" s="513"/>
      <c r="AI54" s="513"/>
      <c r="AJ54" s="513"/>
      <c r="AK54" s="513"/>
      <c r="AL54" s="513"/>
      <c r="AM54" s="513"/>
      <c r="AN54" s="513"/>
      <c r="AO54" s="513"/>
      <c r="AP54" s="513"/>
      <c r="AQ54" s="513"/>
      <c r="AR54" s="513"/>
      <c r="AS54" s="513"/>
      <c r="AT54" s="513"/>
      <c r="AU54" s="513"/>
      <c r="AV54" s="513"/>
      <c r="AW54" s="513"/>
      <c r="AX54" s="513"/>
      <c r="AY54" s="513"/>
      <c r="AZ54" s="513"/>
      <c r="BA54" s="513"/>
      <c r="BB54" s="513"/>
      <c r="BC54" s="513"/>
      <c r="BD54" s="513"/>
      <c r="BE54" s="513"/>
      <c r="BF54" s="513"/>
      <c r="BG54" s="513"/>
      <c r="BH54" s="513"/>
      <c r="BI54" s="513"/>
      <c r="BJ54" s="513"/>
      <c r="BK54" s="513"/>
      <c r="BL54" s="513"/>
      <c r="BM54" s="513"/>
      <c r="BN54" s="513"/>
      <c r="BO54" s="513"/>
      <c r="BP54" s="513"/>
      <c r="BQ54" s="513"/>
      <c r="BR54" s="513"/>
      <c r="BS54" s="513"/>
      <c r="BT54" s="513"/>
      <c r="BU54" s="513"/>
      <c r="BV54" s="513"/>
      <c r="BW54" s="513"/>
      <c r="BX54" s="513"/>
      <c r="BY54" s="513"/>
      <c r="BZ54" s="513"/>
      <c r="CA54" s="513"/>
      <c r="CB54" s="513"/>
      <c r="CC54" s="513"/>
      <c r="CD54" s="513"/>
      <c r="CE54" s="513"/>
      <c r="CF54" s="513"/>
      <c r="CG54" s="513"/>
      <c r="CH54" s="513"/>
      <c r="CI54" s="513"/>
      <c r="CJ54" s="513"/>
      <c r="CK54" s="513"/>
      <c r="CL54" s="513"/>
      <c r="CM54" s="513"/>
      <c r="CN54" s="513"/>
      <c r="CO54" s="513"/>
      <c r="CP54" s="513"/>
      <c r="CQ54" s="513"/>
      <c r="CR54" s="513"/>
      <c r="CS54" s="513"/>
      <c r="CT54" s="513"/>
      <c r="CU54" s="513"/>
      <c r="CV54" s="513"/>
      <c r="CW54" s="513"/>
      <c r="CX54" s="513"/>
      <c r="CY54" s="513"/>
      <c r="CZ54" s="513"/>
      <c r="DA54" s="513"/>
      <c r="DB54" s="513"/>
      <c r="DC54" s="513"/>
      <c r="DD54" s="513"/>
      <c r="DE54" s="513"/>
      <c r="DF54" s="513"/>
      <c r="DG54" s="513"/>
      <c r="DH54" s="513"/>
      <c r="DI54" s="513"/>
      <c r="DJ54" s="513"/>
      <c r="DK54" s="513"/>
      <c r="DL54" s="513"/>
      <c r="DM54" s="513"/>
      <c r="DN54" s="513"/>
      <c r="DO54" s="513"/>
      <c r="DP54" s="513"/>
      <c r="DQ54" s="513"/>
      <c r="DR54" s="513"/>
      <c r="DS54" s="513"/>
      <c r="DT54" s="513"/>
      <c r="DU54" s="513"/>
      <c r="DV54" s="513"/>
      <c r="DW54" s="513"/>
      <c r="DX54" s="513"/>
      <c r="DY54" s="513"/>
      <c r="DZ54" s="513"/>
      <c r="EA54" s="513"/>
      <c r="EB54" s="513"/>
      <c r="EC54" s="513"/>
      <c r="ED54" s="513"/>
      <c r="EE54" s="513"/>
      <c r="EF54" s="513"/>
      <c r="EG54" s="513"/>
      <c r="EH54" s="513"/>
      <c r="EI54" s="513"/>
      <c r="EJ54" s="513"/>
      <c r="EK54" s="513"/>
      <c r="EL54" s="513"/>
      <c r="EM54" s="513"/>
      <c r="EN54" s="513"/>
      <c r="EO54" s="513"/>
      <c r="EP54" s="513"/>
      <c r="EQ54" s="513"/>
      <c r="ER54" s="513"/>
      <c r="ES54" s="513"/>
      <c r="ET54" s="513"/>
      <c r="EU54" s="513"/>
      <c r="EV54" s="513"/>
      <c r="EW54" s="513"/>
      <c r="EX54" s="513"/>
      <c r="EY54" s="513"/>
      <c r="EZ54" s="513"/>
      <c r="FA54" s="513"/>
      <c r="FB54" s="513"/>
      <c r="FC54" s="513"/>
      <c r="FD54" s="513"/>
      <c r="FE54" s="513"/>
      <c r="FF54" s="513"/>
      <c r="FG54" s="513"/>
      <c r="FH54" s="513"/>
      <c r="FI54" s="513"/>
      <c r="FJ54" s="513"/>
      <c r="FK54" s="513"/>
      <c r="FL54" s="513"/>
      <c r="FM54" s="513"/>
      <c r="FN54" s="513"/>
      <c r="FO54" s="513"/>
      <c r="FP54" s="513"/>
      <c r="FQ54" s="513"/>
      <c r="FR54" s="513"/>
      <c r="FS54" s="513"/>
      <c r="FT54" s="513"/>
      <c r="FU54" s="513"/>
      <c r="FV54" s="513"/>
      <c r="FW54" s="513"/>
      <c r="FX54" s="513"/>
      <c r="FY54" s="513"/>
      <c r="FZ54" s="513"/>
      <c r="GA54" s="513"/>
      <c r="GB54" s="513"/>
      <c r="GC54" s="513"/>
      <c r="GD54" s="513"/>
      <c r="GE54" s="513"/>
      <c r="GF54" s="513"/>
      <c r="GG54" s="513"/>
      <c r="GH54" s="513"/>
      <c r="GI54" s="513"/>
      <c r="GJ54" s="513"/>
      <c r="GK54" s="513"/>
      <c r="GL54" s="513"/>
      <c r="GM54" s="513"/>
      <c r="GN54" s="513"/>
      <c r="GO54" s="513"/>
      <c r="GP54" s="513"/>
      <c r="GQ54" s="513"/>
      <c r="GR54" s="513"/>
      <c r="GS54" s="513"/>
      <c r="GT54" s="513"/>
      <c r="GU54" s="513"/>
      <c r="GV54" s="513"/>
      <c r="GW54" s="513"/>
      <c r="GX54" s="513"/>
      <c r="GY54" s="513"/>
      <c r="GZ54" s="513"/>
      <c r="HA54" s="513"/>
      <c r="HB54" s="513"/>
      <c r="HC54" s="513"/>
      <c r="HD54" s="513"/>
      <c r="HE54" s="513"/>
      <c r="HF54" s="513"/>
      <c r="HG54" s="513"/>
      <c r="HH54" s="513"/>
      <c r="HI54" s="513"/>
      <c r="HJ54" s="513"/>
      <c r="HK54" s="513"/>
      <c r="HL54" s="513"/>
      <c r="HM54" s="513"/>
      <c r="HN54" s="513"/>
      <c r="HO54" s="513"/>
      <c r="HP54" s="513"/>
      <c r="HQ54" s="513"/>
      <c r="HR54" s="513"/>
      <c r="HS54" s="513"/>
      <c r="HT54" s="513"/>
      <c r="HU54" s="513"/>
      <c r="HV54" s="513"/>
      <c r="HW54" s="513"/>
      <c r="HX54" s="513"/>
      <c r="HY54" s="513"/>
      <c r="HZ54" s="513"/>
      <c r="IA54" s="513"/>
      <c r="IB54" s="513"/>
      <c r="IC54" s="513"/>
      <c r="ID54" s="513"/>
      <c r="IE54" s="513"/>
      <c r="IF54" s="513"/>
      <c r="IG54" s="513"/>
      <c r="IH54" s="513"/>
      <c r="II54" s="513"/>
      <c r="IJ54" s="513"/>
      <c r="IK54" s="513"/>
      <c r="IL54" s="513"/>
      <c r="IM54" s="513"/>
      <c r="IN54" s="513"/>
      <c r="IO54" s="513"/>
      <c r="IP54" s="513"/>
      <c r="IQ54" s="513"/>
      <c r="IR54" s="513"/>
      <c r="IS54" s="513"/>
      <c r="IT54" s="513"/>
      <c r="IU54" s="513"/>
      <c r="IV54" s="513"/>
      <c r="IW54" s="513"/>
      <c r="IX54" s="513"/>
      <c r="IY54" s="513"/>
      <c r="IZ54" s="513"/>
      <c r="JA54" s="513"/>
      <c r="JB54" s="513"/>
      <c r="JC54" s="513"/>
      <c r="JD54" s="513"/>
      <c r="JE54" s="513"/>
      <c r="JF54" s="513"/>
      <c r="JG54" s="513"/>
      <c r="JH54" s="513"/>
      <c r="JI54" s="513"/>
      <c r="JJ54" s="513"/>
      <c r="JK54" s="513"/>
      <c r="JL54" s="513"/>
      <c r="JM54" s="513"/>
      <c r="JN54" s="513"/>
      <c r="JO54" s="513"/>
      <c r="JP54" s="513"/>
      <c r="JQ54" s="513"/>
      <c r="JR54" s="513"/>
      <c r="JS54" s="513"/>
      <c r="JT54" s="513"/>
      <c r="JU54" s="513"/>
      <c r="JV54" s="513"/>
      <c r="JW54" s="513"/>
      <c r="JX54" s="513"/>
      <c r="JY54" s="513"/>
      <c r="JZ54" s="513"/>
      <c r="KA54" s="513"/>
      <c r="KB54" s="513"/>
      <c r="KC54" s="513"/>
      <c r="KD54" s="513"/>
      <c r="KE54" s="513"/>
      <c r="KF54" s="513"/>
      <c r="KG54" s="513"/>
      <c r="KH54" s="513"/>
      <c r="KI54" s="513"/>
      <c r="KJ54" s="513"/>
      <c r="KK54" s="513"/>
      <c r="KL54" s="513"/>
      <c r="KM54" s="513"/>
      <c r="KN54" s="513"/>
      <c r="KO54" s="513"/>
      <c r="KP54" s="513"/>
      <c r="KQ54" s="513"/>
      <c r="KR54" s="513"/>
      <c r="KS54" s="513"/>
      <c r="KT54" s="513"/>
      <c r="KU54" s="513"/>
      <c r="KV54" s="513"/>
      <c r="KW54" s="513"/>
      <c r="KX54" s="513"/>
      <c r="KY54" s="513"/>
      <c r="KZ54" s="513"/>
      <c r="LA54" s="513"/>
      <c r="LB54" s="513"/>
      <c r="LC54" s="513"/>
      <c r="LD54" s="513"/>
      <c r="LE54" s="513"/>
      <c r="LF54" s="513"/>
      <c r="LG54" s="513"/>
      <c r="LH54" s="513"/>
      <c r="LI54" s="513"/>
      <c r="LJ54" s="513"/>
      <c r="LK54" s="513"/>
      <c r="LL54" s="513"/>
      <c r="LM54" s="513"/>
      <c r="LN54" s="513"/>
      <c r="LO54" s="513"/>
      <c r="LP54" s="513"/>
      <c r="LQ54" s="513"/>
      <c r="LR54" s="513"/>
      <c r="LS54" s="513"/>
      <c r="LT54" s="513"/>
      <c r="LU54" s="513"/>
      <c r="LV54" s="513"/>
      <c r="LW54" s="513"/>
      <c r="LX54" s="513"/>
      <c r="LY54" s="513"/>
      <c r="LZ54" s="513"/>
      <c r="MA54" s="513"/>
      <c r="MB54" s="513"/>
      <c r="MC54" s="513"/>
      <c r="MD54" s="513"/>
      <c r="ME54" s="513"/>
      <c r="MF54" s="513"/>
      <c r="MG54" s="513"/>
      <c r="MH54" s="513"/>
      <c r="MI54" s="513"/>
      <c r="MJ54" s="513"/>
      <c r="MK54" s="513"/>
      <c r="ML54" s="513"/>
      <c r="MM54" s="513"/>
      <c r="MN54" s="513"/>
      <c r="MO54" s="513"/>
      <c r="MP54" s="513"/>
      <c r="MQ54" s="513"/>
      <c r="MR54" s="513"/>
      <c r="MS54" s="513"/>
      <c r="MT54" s="513"/>
      <c r="MU54" s="513"/>
      <c r="MV54" s="513"/>
      <c r="MW54" s="513"/>
      <c r="MX54" s="513"/>
      <c r="MY54" s="513"/>
      <c r="MZ54" s="513"/>
      <c r="NA54" s="513"/>
      <c r="NB54" s="513"/>
      <c r="NC54" s="513"/>
      <c r="ND54" s="513"/>
      <c r="NE54" s="513"/>
      <c r="NF54" s="513"/>
      <c r="NG54" s="513"/>
      <c r="NH54" s="513"/>
      <c r="NI54" s="513"/>
      <c r="NJ54" s="513"/>
      <c r="NK54" s="513"/>
      <c r="NL54" s="513"/>
      <c r="NM54" s="513"/>
      <c r="NN54" s="513"/>
      <c r="NO54" s="513"/>
      <c r="NP54" s="513"/>
      <c r="NQ54" s="513"/>
      <c r="NR54" s="513"/>
      <c r="NS54" s="513"/>
      <c r="NT54" s="513"/>
      <c r="NU54" s="513"/>
      <c r="NV54" s="513"/>
      <c r="NW54" s="513"/>
      <c r="NX54" s="513"/>
      <c r="NY54" s="513"/>
      <c r="NZ54" s="513"/>
      <c r="OA54" s="513"/>
      <c r="OB54" s="513"/>
      <c r="OC54" s="513"/>
      <c r="OD54" s="513"/>
      <c r="OE54" s="513"/>
      <c r="OF54" s="513"/>
      <c r="OG54" s="513"/>
      <c r="OH54" s="513"/>
      <c r="OI54" s="513"/>
      <c r="OJ54" s="513"/>
      <c r="OK54" s="513"/>
      <c r="OL54" s="513"/>
      <c r="OM54" s="513"/>
      <c r="ON54" s="513"/>
      <c r="OO54" s="513"/>
      <c r="OP54" s="513"/>
      <c r="OQ54" s="513"/>
      <c r="OR54" s="513"/>
      <c r="OS54" s="513"/>
      <c r="OT54" s="513"/>
      <c r="OU54" s="513"/>
      <c r="OV54" s="513"/>
      <c r="OW54" s="513"/>
      <c r="OX54" s="513"/>
      <c r="OY54" s="513"/>
      <c r="OZ54" s="513"/>
      <c r="PA54" s="513"/>
      <c r="PB54" s="513"/>
      <c r="PC54" s="513"/>
      <c r="PD54" s="513"/>
      <c r="PE54" s="513"/>
      <c r="PF54" s="513"/>
      <c r="PG54" s="513"/>
      <c r="PH54" s="513"/>
      <c r="PI54" s="513"/>
      <c r="PJ54" s="513"/>
      <c r="PK54" s="513"/>
      <c r="PL54" s="513"/>
      <c r="PM54" s="513"/>
      <c r="PN54" s="513"/>
      <c r="PO54" s="513"/>
      <c r="PP54" s="513"/>
      <c r="PQ54" s="513"/>
      <c r="PR54" s="513"/>
      <c r="PS54" s="513"/>
      <c r="PT54" s="513"/>
      <c r="PU54" s="513"/>
      <c r="PV54" s="513"/>
      <c r="PW54" s="513"/>
      <c r="PX54" s="513"/>
      <c r="PY54" s="513"/>
      <c r="PZ54" s="513"/>
      <c r="QA54" s="513"/>
      <c r="QB54" s="513"/>
      <c r="QC54" s="513"/>
      <c r="QD54" s="513"/>
      <c r="QE54" s="513"/>
      <c r="QF54" s="513"/>
      <c r="QG54" s="513"/>
      <c r="QH54" s="513"/>
      <c r="QI54" s="513"/>
      <c r="QJ54" s="513"/>
      <c r="QK54" s="513"/>
      <c r="QL54" s="513"/>
      <c r="QM54" s="513"/>
      <c r="QN54" s="513"/>
      <c r="QO54" s="513"/>
      <c r="QP54" s="513"/>
      <c r="QQ54" s="513"/>
      <c r="QR54" s="513"/>
      <c r="QS54" s="513"/>
      <c r="QT54" s="513"/>
      <c r="QU54" s="513"/>
      <c r="QV54" s="513"/>
      <c r="QW54" s="513"/>
      <c r="QX54" s="513"/>
      <c r="QY54" s="513"/>
      <c r="QZ54" s="513"/>
      <c r="RA54" s="513"/>
      <c r="RB54" s="513"/>
      <c r="RC54" s="513"/>
      <c r="RD54" s="513"/>
      <c r="RE54" s="513"/>
      <c r="RF54" s="513"/>
      <c r="RG54" s="513"/>
      <c r="RH54" s="513"/>
      <c r="RI54" s="513"/>
      <c r="RJ54" s="513"/>
      <c r="RK54" s="513"/>
      <c r="RL54" s="513"/>
      <c r="RM54" s="513"/>
      <c r="RN54" s="513"/>
      <c r="RO54" s="513"/>
      <c r="RP54" s="513"/>
      <c r="RQ54" s="513"/>
      <c r="RR54" s="513"/>
      <c r="RS54" s="513"/>
      <c r="RT54" s="513"/>
      <c r="RU54" s="513"/>
      <c r="RV54" s="513"/>
      <c r="RW54" s="513"/>
      <c r="RX54" s="513"/>
      <c r="RY54" s="513"/>
      <c r="RZ54" s="513"/>
      <c r="SA54" s="513"/>
      <c r="SB54" s="513"/>
      <c r="SC54" s="513"/>
      <c r="SD54" s="513"/>
      <c r="SE54" s="513"/>
      <c r="SF54" s="513"/>
      <c r="SG54" s="513"/>
      <c r="SH54" s="513"/>
      <c r="SI54" s="513"/>
      <c r="SJ54" s="513"/>
      <c r="SK54" s="513"/>
      <c r="SL54" s="513"/>
      <c r="SM54" s="513"/>
      <c r="SN54" s="513"/>
      <c r="SO54" s="513"/>
      <c r="SP54" s="513"/>
      <c r="SQ54" s="513"/>
      <c r="SR54" s="513"/>
      <c r="SS54" s="513"/>
      <c r="ST54" s="513"/>
      <c r="SU54" s="513"/>
      <c r="SV54" s="513"/>
      <c r="SW54" s="513"/>
      <c r="SX54" s="513"/>
      <c r="SY54" s="513"/>
      <c r="SZ54" s="513"/>
      <c r="TA54" s="513"/>
      <c r="TB54" s="513"/>
      <c r="TC54" s="513"/>
      <c r="TD54" s="513"/>
      <c r="TE54" s="513"/>
      <c r="TF54" s="513"/>
      <c r="TG54" s="513"/>
      <c r="TH54" s="513"/>
      <c r="TI54" s="513"/>
      <c r="TJ54" s="513"/>
      <c r="TK54" s="513"/>
      <c r="TL54" s="513"/>
      <c r="TM54" s="513"/>
      <c r="TN54" s="513"/>
      <c r="TO54" s="513"/>
      <c r="TP54" s="513"/>
      <c r="TQ54" s="513"/>
      <c r="TR54" s="513"/>
      <c r="TS54" s="513"/>
      <c r="TT54" s="513"/>
      <c r="TU54" s="513"/>
      <c r="TV54" s="513"/>
      <c r="TW54" s="513"/>
      <c r="TX54" s="513"/>
      <c r="TY54" s="513"/>
      <c r="TZ54" s="513"/>
      <c r="UA54" s="513"/>
      <c r="UB54" s="513"/>
      <c r="UC54" s="513"/>
      <c r="UD54" s="513"/>
      <c r="UE54" s="513"/>
      <c r="UF54" s="513"/>
      <c r="UG54" s="513"/>
      <c r="UH54" s="513"/>
      <c r="UI54" s="513"/>
      <c r="UJ54" s="513"/>
      <c r="UK54" s="513"/>
      <c r="UL54" s="513"/>
      <c r="UM54" s="513"/>
      <c r="UN54" s="513"/>
      <c r="UO54" s="513"/>
      <c r="UP54" s="513"/>
      <c r="UQ54" s="513"/>
      <c r="UR54" s="513"/>
      <c r="US54" s="513"/>
      <c r="UT54" s="513"/>
      <c r="UU54" s="513"/>
      <c r="UV54" s="513"/>
      <c r="UW54" s="513"/>
      <c r="UX54" s="513"/>
      <c r="UY54" s="513"/>
      <c r="UZ54" s="513"/>
      <c r="VA54" s="513"/>
      <c r="VB54" s="513"/>
      <c r="VC54" s="513"/>
      <c r="VD54" s="513"/>
      <c r="VE54" s="513"/>
      <c r="VF54" s="513"/>
      <c r="VG54" s="513"/>
      <c r="VH54" s="513"/>
      <c r="VI54" s="513"/>
      <c r="VJ54" s="513"/>
      <c r="VK54" s="513"/>
      <c r="VL54" s="513"/>
      <c r="VM54" s="513"/>
      <c r="VN54" s="513"/>
      <c r="VO54" s="513"/>
      <c r="VP54" s="513"/>
      <c r="VQ54" s="513"/>
      <c r="VR54" s="513"/>
      <c r="VS54" s="513"/>
      <c r="VT54" s="513"/>
      <c r="VU54" s="513"/>
      <c r="VV54" s="513"/>
      <c r="VW54" s="513"/>
      <c r="VX54" s="513"/>
      <c r="VY54" s="513"/>
      <c r="VZ54" s="513"/>
      <c r="WA54" s="513"/>
      <c r="WB54" s="513"/>
      <c r="WC54" s="513"/>
      <c r="WD54" s="513"/>
      <c r="WE54" s="513"/>
      <c r="WF54" s="513"/>
      <c r="WG54" s="513"/>
      <c r="WH54" s="513"/>
      <c r="WI54" s="513"/>
      <c r="WJ54" s="513"/>
      <c r="WK54" s="513"/>
      <c r="WL54" s="513"/>
      <c r="WM54" s="513"/>
      <c r="WN54" s="513"/>
      <c r="WO54" s="513"/>
      <c r="WP54" s="513"/>
      <c r="WQ54" s="513"/>
      <c r="WR54" s="513"/>
      <c r="WS54" s="513"/>
      <c r="WT54" s="513"/>
      <c r="WU54" s="513"/>
      <c r="WV54" s="513"/>
      <c r="WW54" s="513"/>
      <c r="WX54" s="513"/>
      <c r="WY54" s="513"/>
      <c r="WZ54" s="513"/>
      <c r="XA54" s="513"/>
      <c r="XB54" s="513"/>
      <c r="XC54" s="513"/>
      <c r="XD54" s="513"/>
      <c r="XE54" s="513"/>
      <c r="XF54" s="513"/>
      <c r="XG54" s="513"/>
      <c r="XH54" s="513"/>
      <c r="XI54" s="513"/>
      <c r="XJ54" s="513"/>
      <c r="XK54" s="513"/>
      <c r="XL54" s="513"/>
      <c r="XM54" s="513"/>
      <c r="XN54" s="513"/>
      <c r="XO54" s="513"/>
      <c r="XP54" s="513"/>
      <c r="XQ54" s="513"/>
      <c r="XR54" s="513"/>
      <c r="XS54" s="513"/>
      <c r="XT54" s="513"/>
      <c r="XU54" s="513"/>
      <c r="XV54" s="513"/>
      <c r="XW54" s="513"/>
      <c r="XX54" s="513"/>
      <c r="XY54" s="513"/>
      <c r="XZ54" s="513"/>
      <c r="YA54" s="513"/>
      <c r="YB54" s="513"/>
      <c r="YC54" s="513"/>
      <c r="YD54" s="513"/>
      <c r="YE54" s="513"/>
      <c r="YF54" s="513"/>
      <c r="YG54" s="513"/>
      <c r="YH54" s="513"/>
      <c r="YI54" s="513"/>
      <c r="YJ54" s="513"/>
      <c r="YK54" s="513"/>
      <c r="YL54" s="513"/>
      <c r="YM54" s="513"/>
      <c r="YN54" s="513"/>
      <c r="YO54" s="513"/>
      <c r="YP54" s="513"/>
      <c r="YQ54" s="513"/>
      <c r="YR54" s="513"/>
      <c r="YS54" s="513"/>
      <c r="YT54" s="513"/>
      <c r="YU54" s="513"/>
      <c r="YV54" s="513"/>
      <c r="YW54" s="513"/>
      <c r="YX54" s="513"/>
      <c r="YY54" s="513"/>
      <c r="YZ54" s="513"/>
      <c r="ZA54" s="513"/>
      <c r="ZB54" s="513"/>
      <c r="ZC54" s="513"/>
      <c r="ZD54" s="513"/>
      <c r="ZE54" s="513"/>
      <c r="ZF54" s="513"/>
      <c r="ZG54" s="513"/>
      <c r="ZH54" s="513"/>
      <c r="ZI54" s="513"/>
      <c r="ZJ54" s="513"/>
      <c r="ZK54" s="513"/>
      <c r="ZL54" s="513"/>
      <c r="ZM54" s="513"/>
      <c r="ZN54" s="513"/>
      <c r="ZO54" s="513"/>
      <c r="ZP54" s="513"/>
      <c r="ZQ54" s="513"/>
      <c r="ZR54" s="513"/>
      <c r="ZS54" s="513"/>
      <c r="ZT54" s="513"/>
      <c r="ZU54" s="513"/>
      <c r="ZV54" s="513"/>
      <c r="ZW54" s="513"/>
      <c r="ZX54" s="513"/>
      <c r="ZY54" s="513"/>
      <c r="ZZ54" s="513"/>
      <c r="AAA54" s="513"/>
      <c r="AAB54" s="513"/>
      <c r="AAC54" s="513"/>
      <c r="AAD54" s="513"/>
      <c r="AAE54" s="513"/>
      <c r="AAF54" s="513"/>
      <c r="AAG54" s="513"/>
      <c r="AAH54" s="513"/>
      <c r="AAI54" s="513"/>
      <c r="AAJ54" s="513"/>
      <c r="AAK54" s="513"/>
      <c r="AAL54" s="513"/>
      <c r="AAM54" s="513"/>
      <c r="AAN54" s="513"/>
      <c r="AAO54" s="513"/>
      <c r="AAP54" s="513"/>
      <c r="AAQ54" s="513"/>
      <c r="AAR54" s="513"/>
      <c r="AAS54" s="513"/>
      <c r="AAT54" s="513"/>
      <c r="AAU54" s="513"/>
      <c r="AAV54" s="513"/>
      <c r="AAW54" s="513"/>
      <c r="AAX54" s="513"/>
      <c r="AAY54" s="513"/>
      <c r="AAZ54" s="513"/>
      <c r="ABA54" s="513"/>
      <c r="ABB54" s="513"/>
      <c r="ABC54" s="513"/>
      <c r="ABD54" s="513"/>
      <c r="ABE54" s="513"/>
      <c r="ABF54" s="513"/>
      <c r="ABG54" s="513"/>
      <c r="ABH54" s="513"/>
      <c r="ABI54" s="513"/>
      <c r="ABJ54" s="513"/>
      <c r="ABK54" s="513"/>
      <c r="ABL54" s="513"/>
      <c r="ABM54" s="513"/>
      <c r="ABN54" s="513"/>
      <c r="ABO54" s="513"/>
      <c r="ABP54" s="513"/>
      <c r="ABQ54" s="513"/>
      <c r="ABR54" s="513"/>
      <c r="ABS54" s="513"/>
      <c r="ABT54" s="513"/>
      <c r="ABU54" s="513"/>
      <c r="ABV54" s="513"/>
      <c r="ABW54" s="513"/>
      <c r="ABX54" s="513"/>
      <c r="ABY54" s="513"/>
      <c r="ABZ54" s="513"/>
      <c r="ACA54" s="513"/>
      <c r="ACB54" s="513"/>
      <c r="ACC54" s="513"/>
      <c r="ACD54" s="513"/>
      <c r="ACE54" s="513"/>
      <c r="ACF54" s="513"/>
      <c r="ACG54" s="513"/>
      <c r="ACH54" s="513"/>
      <c r="ACI54" s="513"/>
      <c r="ACJ54" s="513"/>
      <c r="ACK54" s="513"/>
      <c r="ACL54" s="513"/>
      <c r="ACM54" s="513"/>
      <c r="ACN54" s="513"/>
      <c r="ACO54" s="513"/>
      <c r="ACP54" s="513"/>
      <c r="ACQ54" s="513"/>
      <c r="ACR54" s="513"/>
      <c r="ACS54" s="513"/>
      <c r="ACT54" s="513"/>
      <c r="ACU54" s="513"/>
      <c r="ACV54" s="513"/>
      <c r="ACW54" s="513"/>
      <c r="ACX54" s="513"/>
      <c r="ACY54" s="513"/>
      <c r="ACZ54" s="513"/>
      <c r="ADA54" s="513"/>
      <c r="ADB54" s="513"/>
      <c r="ADC54" s="513"/>
      <c r="ADD54" s="513"/>
      <c r="ADE54" s="513"/>
      <c r="ADF54" s="513"/>
      <c r="ADG54" s="513"/>
      <c r="ADH54" s="513"/>
      <c r="ADI54" s="513"/>
      <c r="ADJ54" s="513"/>
      <c r="ADK54" s="513"/>
      <c r="ADL54" s="513"/>
      <c r="ADM54" s="513"/>
      <c r="ADN54" s="513"/>
      <c r="ADO54" s="513"/>
      <c r="ADP54" s="513"/>
      <c r="ADQ54" s="513"/>
      <c r="ADR54" s="513"/>
      <c r="ADS54" s="513"/>
      <c r="ADT54" s="513"/>
      <c r="ADU54" s="513"/>
      <c r="ADV54" s="513"/>
      <c r="ADW54" s="513"/>
      <c r="ADX54" s="513"/>
      <c r="ADY54" s="513"/>
      <c r="ADZ54" s="513"/>
      <c r="AEA54" s="513"/>
      <c r="AEB54" s="513"/>
      <c r="AEC54" s="513"/>
      <c r="AED54" s="513"/>
      <c r="AEE54" s="513"/>
      <c r="AEF54" s="513"/>
      <c r="AEG54" s="513"/>
      <c r="AEH54" s="513"/>
      <c r="AEI54" s="513"/>
      <c r="AEJ54" s="513"/>
      <c r="AEK54" s="513"/>
      <c r="AEL54" s="513"/>
      <c r="AEM54" s="513"/>
      <c r="AEN54" s="513"/>
      <c r="AEO54" s="513"/>
      <c r="AEP54" s="513"/>
      <c r="AEQ54" s="513"/>
      <c r="AER54" s="513"/>
      <c r="AES54" s="513"/>
      <c r="AET54" s="513"/>
      <c r="AEU54" s="513"/>
      <c r="AEV54" s="513"/>
      <c r="AEW54" s="513"/>
      <c r="AEX54" s="513"/>
      <c r="AEY54" s="513"/>
      <c r="AEZ54" s="513"/>
      <c r="AFA54" s="513"/>
      <c r="AFB54" s="513"/>
      <c r="AFC54" s="513"/>
      <c r="AFD54" s="513"/>
      <c r="AFE54" s="513"/>
      <c r="AFF54" s="513"/>
      <c r="AFG54" s="513"/>
      <c r="AFH54" s="513"/>
      <c r="AFI54" s="513"/>
      <c r="AFJ54" s="513"/>
      <c r="AFK54" s="513"/>
      <c r="AFL54" s="513"/>
      <c r="AFM54" s="513"/>
      <c r="AFN54" s="513"/>
      <c r="AFO54" s="513"/>
      <c r="AFP54" s="513"/>
      <c r="AFQ54" s="513"/>
      <c r="AFR54" s="513"/>
      <c r="AFS54" s="513"/>
      <c r="AFT54" s="513"/>
      <c r="AFU54" s="513"/>
      <c r="AFV54" s="513"/>
      <c r="AFW54" s="513"/>
      <c r="AFX54" s="513"/>
      <c r="AFY54" s="513"/>
      <c r="AFZ54" s="513"/>
      <c r="AGA54" s="513"/>
      <c r="AGB54" s="513"/>
      <c r="AGC54" s="513"/>
      <c r="AGD54" s="513"/>
      <c r="AGE54" s="513"/>
      <c r="AGF54" s="513"/>
      <c r="AGG54" s="513"/>
      <c r="AGH54" s="513"/>
      <c r="AGI54" s="513"/>
      <c r="AGJ54" s="513"/>
      <c r="AGK54" s="513"/>
      <c r="AGL54" s="513"/>
      <c r="AGM54" s="513"/>
      <c r="AGN54" s="513"/>
      <c r="AGO54" s="513"/>
      <c r="AGP54" s="513"/>
      <c r="AGQ54" s="513"/>
      <c r="AGR54" s="513"/>
      <c r="AGS54" s="513"/>
      <c r="AGT54" s="513"/>
      <c r="AGU54" s="513"/>
      <c r="AGV54" s="513"/>
      <c r="AGW54" s="513"/>
      <c r="AGX54" s="513"/>
      <c r="AGY54" s="513"/>
      <c r="AGZ54" s="513"/>
      <c r="AHA54" s="513"/>
      <c r="AHB54" s="513"/>
      <c r="AHC54" s="513"/>
      <c r="AHD54" s="513"/>
      <c r="AHE54" s="513"/>
      <c r="AHF54" s="513"/>
      <c r="AHG54" s="513"/>
      <c r="AHH54" s="513"/>
      <c r="AHI54" s="513"/>
      <c r="AHJ54" s="513"/>
      <c r="AHK54" s="513"/>
      <c r="AHL54" s="513"/>
      <c r="AHM54" s="513"/>
      <c r="AHN54" s="513"/>
      <c r="AHO54" s="513"/>
      <c r="AHP54" s="513"/>
      <c r="AHQ54" s="513"/>
      <c r="AHR54" s="513"/>
      <c r="AHS54" s="513"/>
      <c r="AHT54" s="513"/>
      <c r="AHU54" s="513"/>
      <c r="AHV54" s="513"/>
      <c r="AHW54" s="513"/>
      <c r="AHX54" s="513"/>
      <c r="AHY54" s="513"/>
      <c r="AHZ54" s="513"/>
      <c r="AIA54" s="513"/>
      <c r="AIB54" s="513"/>
      <c r="AIC54" s="513"/>
      <c r="AID54" s="513"/>
      <c r="AIE54" s="513"/>
      <c r="AIF54" s="513"/>
      <c r="AIG54" s="513"/>
      <c r="AIH54" s="513"/>
      <c r="AII54" s="513"/>
      <c r="AIJ54" s="513"/>
      <c r="AIK54" s="513"/>
      <c r="AIL54" s="513"/>
      <c r="AIM54" s="513"/>
      <c r="AIN54" s="513"/>
      <c r="AIO54" s="513"/>
      <c r="AIP54" s="513"/>
      <c r="AIQ54" s="513"/>
      <c r="AIR54" s="513"/>
      <c r="AIS54" s="513"/>
      <c r="AIT54" s="513"/>
      <c r="AIU54" s="513"/>
      <c r="AIV54" s="513"/>
      <c r="AIW54" s="513"/>
      <c r="AIX54" s="513"/>
      <c r="AIY54" s="513"/>
      <c r="AIZ54" s="513"/>
      <c r="AJA54" s="513"/>
      <c r="AJB54" s="513"/>
      <c r="AJC54" s="513"/>
      <c r="AJD54" s="513"/>
      <c r="AJE54" s="513"/>
      <c r="AJF54" s="513"/>
      <c r="AJG54" s="513"/>
      <c r="AJH54" s="513"/>
      <c r="AJI54" s="513"/>
      <c r="AJJ54" s="513"/>
      <c r="AJK54" s="513"/>
      <c r="AJL54" s="513"/>
      <c r="AJM54" s="513"/>
      <c r="AJN54" s="513"/>
      <c r="AJO54" s="513"/>
      <c r="AJP54" s="513"/>
      <c r="AJQ54" s="513"/>
      <c r="AJR54" s="513"/>
      <c r="AJS54" s="513"/>
      <c r="AJT54" s="513"/>
      <c r="AJU54" s="513"/>
      <c r="AJV54" s="513"/>
      <c r="AJW54" s="513"/>
      <c r="AJX54" s="513"/>
      <c r="AJY54" s="513"/>
      <c r="AJZ54" s="513"/>
      <c r="AKA54" s="513"/>
      <c r="AKB54" s="513"/>
      <c r="AKC54" s="513"/>
      <c r="AKD54" s="513"/>
      <c r="AKE54" s="513"/>
      <c r="AKF54" s="513"/>
      <c r="AKG54" s="513"/>
      <c r="AKH54" s="513"/>
      <c r="AKI54" s="513"/>
      <c r="AKJ54" s="513"/>
      <c r="AKK54" s="513"/>
      <c r="AKL54" s="513"/>
      <c r="AKM54" s="513"/>
      <c r="AKN54" s="513"/>
      <c r="AKO54" s="513"/>
      <c r="AKP54" s="513"/>
      <c r="AKQ54" s="513"/>
      <c r="AKR54" s="513"/>
      <c r="AKS54" s="513"/>
      <c r="AKT54" s="513"/>
      <c r="AKU54" s="513"/>
      <c r="AKV54" s="513"/>
      <c r="AKW54" s="513"/>
      <c r="AKX54" s="513"/>
      <c r="AKY54" s="513"/>
      <c r="AKZ54" s="513"/>
      <c r="ALA54" s="513"/>
      <c r="ALB54" s="513"/>
      <c r="ALC54" s="513"/>
      <c r="ALD54" s="513"/>
      <c r="ALE54" s="513"/>
      <c r="ALF54" s="513"/>
      <c r="ALG54" s="513"/>
      <c r="ALH54" s="513"/>
      <c r="ALI54" s="513"/>
      <c r="ALJ54" s="513"/>
      <c r="ALK54" s="513"/>
      <c r="ALL54" s="513"/>
      <c r="ALM54" s="513"/>
      <c r="ALN54" s="513"/>
      <c r="ALO54" s="513"/>
      <c r="ALP54" s="513"/>
      <c r="ALQ54" s="513"/>
      <c r="ALR54" s="513"/>
      <c r="ALS54" s="513"/>
      <c r="ALT54" s="513"/>
      <c r="ALU54" s="513"/>
      <c r="ALV54" s="513"/>
      <c r="ALW54" s="513"/>
      <c r="ALX54" s="513"/>
      <c r="ALY54" s="513"/>
      <c r="ALZ54" s="513"/>
      <c r="AMA54" s="513"/>
      <c r="AMB54" s="513"/>
      <c r="AMC54" s="513"/>
      <c r="AMD54" s="513"/>
      <c r="AME54" s="513"/>
      <c r="AMF54" s="513"/>
      <c r="AMG54" s="513"/>
      <c r="AMH54" s="513"/>
      <c r="AMI54" s="513"/>
      <c r="AMJ54" s="513"/>
      <c r="AMK54" s="513"/>
    </row>
    <row r="55" spans="1:1025" ht="15.95" customHeight="1" x14ac:dyDescent="0.25">
      <c r="A55" s="524">
        <f t="shared" si="9"/>
        <v>3</v>
      </c>
      <c r="B55" s="539" t="str">
        <f t="shared" si="9"/>
        <v>Auxiliar de limpeza - Fórum Eleitoral de MARINGÁ</v>
      </c>
      <c r="C55" s="766">
        <f>V.T.!C53</f>
        <v>4.8</v>
      </c>
      <c r="D55" s="767">
        <f>V.T.!D53</f>
        <v>2</v>
      </c>
      <c r="E55" s="541">
        <v>1</v>
      </c>
      <c r="F55" s="527">
        <f>ROUND(((IF(OR(ISBLANK(C55),C55=0),"0",((MAX((C55*(21+E55)*D55)-(6%*C19),0)))-V.T.!G53)/E55)),2)</f>
        <v>9.6</v>
      </c>
      <c r="G55" s="527">
        <f t="shared" si="10"/>
        <v>3.36</v>
      </c>
      <c r="H55" s="528">
        <f t="shared" si="11"/>
        <v>12.959999999999999</v>
      </c>
      <c r="I55" s="528">
        <f t="shared" si="12"/>
        <v>12.959999999999999</v>
      </c>
      <c r="J55" s="573"/>
      <c r="K55" s="574"/>
      <c r="L55" s="573"/>
      <c r="M55" s="574"/>
      <c r="N55" s="531"/>
      <c r="O55" s="531"/>
      <c r="P55" s="531"/>
      <c r="Q55" s="531"/>
      <c r="R55" s="512"/>
      <c r="S55" s="513"/>
      <c r="T55" s="513"/>
      <c r="U55" s="513"/>
      <c r="V55" s="513"/>
      <c r="W55" s="513"/>
      <c r="X55" s="513"/>
      <c r="Y55" s="513"/>
      <c r="Z55" s="513"/>
      <c r="AA55" s="513"/>
      <c r="AB55" s="513"/>
      <c r="AC55" s="513"/>
      <c r="AD55" s="513"/>
      <c r="AE55" s="513"/>
      <c r="AF55" s="513"/>
      <c r="AG55" s="513"/>
      <c r="AH55" s="513"/>
      <c r="AI55" s="513"/>
      <c r="AJ55" s="513"/>
      <c r="AK55" s="513"/>
      <c r="AL55" s="513"/>
      <c r="AM55" s="513"/>
      <c r="AN55" s="513"/>
      <c r="AO55" s="513"/>
      <c r="AP55" s="513"/>
      <c r="AQ55" s="513"/>
      <c r="AR55" s="513"/>
      <c r="AS55" s="513"/>
      <c r="AT55" s="513"/>
      <c r="AU55" s="513"/>
      <c r="AV55" s="513"/>
      <c r="AW55" s="513"/>
      <c r="AX55" s="513"/>
      <c r="AY55" s="513"/>
      <c r="AZ55" s="513"/>
      <c r="BA55" s="513"/>
      <c r="BB55" s="513"/>
      <c r="BC55" s="513"/>
      <c r="BD55" s="513"/>
      <c r="BE55" s="513"/>
      <c r="BF55" s="513"/>
      <c r="BG55" s="513"/>
      <c r="BH55" s="513"/>
      <c r="BI55" s="513"/>
      <c r="BJ55" s="513"/>
      <c r="BK55" s="513"/>
      <c r="BL55" s="513"/>
      <c r="BM55" s="513"/>
      <c r="BN55" s="513"/>
      <c r="BO55" s="513"/>
      <c r="BP55" s="513"/>
      <c r="BQ55" s="513"/>
      <c r="BR55" s="513"/>
      <c r="BS55" s="513"/>
      <c r="BT55" s="513"/>
      <c r="BU55" s="513"/>
      <c r="BV55" s="513"/>
      <c r="BW55" s="513"/>
      <c r="BX55" s="513"/>
      <c r="BY55" s="513"/>
      <c r="BZ55" s="513"/>
      <c r="CA55" s="513"/>
      <c r="CB55" s="513"/>
      <c r="CC55" s="513"/>
      <c r="CD55" s="513"/>
      <c r="CE55" s="513"/>
      <c r="CF55" s="513"/>
      <c r="CG55" s="513"/>
      <c r="CH55" s="513"/>
      <c r="CI55" s="513"/>
      <c r="CJ55" s="513"/>
      <c r="CK55" s="513"/>
      <c r="CL55" s="513"/>
      <c r="CM55" s="513"/>
      <c r="CN55" s="513"/>
      <c r="CO55" s="513"/>
      <c r="CP55" s="513"/>
      <c r="CQ55" s="513"/>
      <c r="CR55" s="513"/>
      <c r="CS55" s="513"/>
      <c r="CT55" s="513"/>
      <c r="CU55" s="513"/>
      <c r="CV55" s="513"/>
      <c r="CW55" s="513"/>
      <c r="CX55" s="513"/>
      <c r="CY55" s="513"/>
      <c r="CZ55" s="513"/>
      <c r="DA55" s="513"/>
      <c r="DB55" s="513"/>
      <c r="DC55" s="513"/>
      <c r="DD55" s="513"/>
      <c r="DE55" s="513"/>
      <c r="DF55" s="513"/>
      <c r="DG55" s="513"/>
      <c r="DH55" s="513"/>
      <c r="DI55" s="513"/>
      <c r="DJ55" s="513"/>
      <c r="DK55" s="513"/>
      <c r="DL55" s="513"/>
      <c r="DM55" s="513"/>
      <c r="DN55" s="513"/>
      <c r="DO55" s="513"/>
      <c r="DP55" s="513"/>
      <c r="DQ55" s="513"/>
      <c r="DR55" s="513"/>
      <c r="DS55" s="513"/>
      <c r="DT55" s="513"/>
      <c r="DU55" s="513"/>
      <c r="DV55" s="513"/>
      <c r="DW55" s="513"/>
      <c r="DX55" s="513"/>
      <c r="DY55" s="513"/>
      <c r="DZ55" s="513"/>
      <c r="EA55" s="513"/>
      <c r="EB55" s="513"/>
      <c r="EC55" s="513"/>
      <c r="ED55" s="513"/>
      <c r="EE55" s="513"/>
      <c r="EF55" s="513"/>
      <c r="EG55" s="513"/>
      <c r="EH55" s="513"/>
      <c r="EI55" s="513"/>
      <c r="EJ55" s="513"/>
      <c r="EK55" s="513"/>
      <c r="EL55" s="513"/>
      <c r="EM55" s="513"/>
      <c r="EN55" s="513"/>
      <c r="EO55" s="513"/>
      <c r="EP55" s="513"/>
      <c r="EQ55" s="513"/>
      <c r="ER55" s="513"/>
      <c r="ES55" s="513"/>
      <c r="ET55" s="513"/>
      <c r="EU55" s="513"/>
      <c r="EV55" s="513"/>
      <c r="EW55" s="513"/>
      <c r="EX55" s="513"/>
      <c r="EY55" s="513"/>
      <c r="EZ55" s="513"/>
      <c r="FA55" s="513"/>
      <c r="FB55" s="513"/>
      <c r="FC55" s="513"/>
      <c r="FD55" s="513"/>
      <c r="FE55" s="513"/>
      <c r="FF55" s="513"/>
      <c r="FG55" s="513"/>
      <c r="FH55" s="513"/>
      <c r="FI55" s="513"/>
      <c r="FJ55" s="513"/>
      <c r="FK55" s="513"/>
      <c r="FL55" s="513"/>
      <c r="FM55" s="513"/>
      <c r="FN55" s="513"/>
      <c r="FO55" s="513"/>
      <c r="FP55" s="513"/>
      <c r="FQ55" s="513"/>
      <c r="FR55" s="513"/>
      <c r="FS55" s="513"/>
      <c r="FT55" s="513"/>
      <c r="FU55" s="513"/>
      <c r="FV55" s="513"/>
      <c r="FW55" s="513"/>
      <c r="FX55" s="513"/>
      <c r="FY55" s="513"/>
      <c r="FZ55" s="513"/>
      <c r="GA55" s="513"/>
      <c r="GB55" s="513"/>
      <c r="GC55" s="513"/>
      <c r="GD55" s="513"/>
      <c r="GE55" s="513"/>
      <c r="GF55" s="513"/>
      <c r="GG55" s="513"/>
      <c r="GH55" s="513"/>
      <c r="GI55" s="513"/>
      <c r="GJ55" s="513"/>
      <c r="GK55" s="513"/>
      <c r="GL55" s="513"/>
      <c r="GM55" s="513"/>
      <c r="GN55" s="513"/>
      <c r="GO55" s="513"/>
      <c r="GP55" s="513"/>
      <c r="GQ55" s="513"/>
      <c r="GR55" s="513"/>
      <c r="GS55" s="513"/>
      <c r="GT55" s="513"/>
      <c r="GU55" s="513"/>
      <c r="GV55" s="513"/>
      <c r="GW55" s="513"/>
      <c r="GX55" s="513"/>
      <c r="GY55" s="513"/>
      <c r="GZ55" s="513"/>
      <c r="HA55" s="513"/>
      <c r="HB55" s="513"/>
      <c r="HC55" s="513"/>
      <c r="HD55" s="513"/>
      <c r="HE55" s="513"/>
      <c r="HF55" s="513"/>
      <c r="HG55" s="513"/>
      <c r="HH55" s="513"/>
      <c r="HI55" s="513"/>
      <c r="HJ55" s="513"/>
      <c r="HK55" s="513"/>
      <c r="HL55" s="513"/>
      <c r="HM55" s="513"/>
      <c r="HN55" s="513"/>
      <c r="HO55" s="513"/>
      <c r="HP55" s="513"/>
      <c r="HQ55" s="513"/>
      <c r="HR55" s="513"/>
      <c r="HS55" s="513"/>
      <c r="HT55" s="513"/>
      <c r="HU55" s="513"/>
      <c r="HV55" s="513"/>
      <c r="HW55" s="513"/>
      <c r="HX55" s="513"/>
      <c r="HY55" s="513"/>
      <c r="HZ55" s="513"/>
      <c r="IA55" s="513"/>
      <c r="IB55" s="513"/>
      <c r="IC55" s="513"/>
      <c r="ID55" s="513"/>
      <c r="IE55" s="513"/>
      <c r="IF55" s="513"/>
      <c r="IG55" s="513"/>
      <c r="IH55" s="513"/>
      <c r="II55" s="513"/>
      <c r="IJ55" s="513"/>
      <c r="IK55" s="513"/>
      <c r="IL55" s="513"/>
      <c r="IM55" s="513"/>
      <c r="IN55" s="513"/>
      <c r="IO55" s="513"/>
      <c r="IP55" s="513"/>
      <c r="IQ55" s="513"/>
      <c r="IR55" s="513"/>
      <c r="IS55" s="513"/>
      <c r="IT55" s="513"/>
      <c r="IU55" s="513"/>
      <c r="IV55" s="513"/>
      <c r="IW55" s="513"/>
      <c r="IX55" s="513"/>
      <c r="IY55" s="513"/>
      <c r="IZ55" s="513"/>
      <c r="JA55" s="513"/>
      <c r="JB55" s="513"/>
      <c r="JC55" s="513"/>
      <c r="JD55" s="513"/>
      <c r="JE55" s="513"/>
      <c r="JF55" s="513"/>
      <c r="JG55" s="513"/>
      <c r="JH55" s="513"/>
      <c r="JI55" s="513"/>
      <c r="JJ55" s="513"/>
      <c r="JK55" s="513"/>
      <c r="JL55" s="513"/>
      <c r="JM55" s="513"/>
      <c r="JN55" s="513"/>
      <c r="JO55" s="513"/>
      <c r="JP55" s="513"/>
      <c r="JQ55" s="513"/>
      <c r="JR55" s="513"/>
      <c r="JS55" s="513"/>
      <c r="JT55" s="513"/>
      <c r="JU55" s="513"/>
      <c r="JV55" s="513"/>
      <c r="JW55" s="513"/>
      <c r="JX55" s="513"/>
      <c r="JY55" s="513"/>
      <c r="JZ55" s="513"/>
      <c r="KA55" s="513"/>
      <c r="KB55" s="513"/>
      <c r="KC55" s="513"/>
      <c r="KD55" s="513"/>
      <c r="KE55" s="513"/>
      <c r="KF55" s="513"/>
      <c r="KG55" s="513"/>
      <c r="KH55" s="513"/>
      <c r="KI55" s="513"/>
      <c r="KJ55" s="513"/>
      <c r="KK55" s="513"/>
      <c r="KL55" s="513"/>
      <c r="KM55" s="513"/>
      <c r="KN55" s="513"/>
      <c r="KO55" s="513"/>
      <c r="KP55" s="513"/>
      <c r="KQ55" s="513"/>
      <c r="KR55" s="513"/>
      <c r="KS55" s="513"/>
      <c r="KT55" s="513"/>
      <c r="KU55" s="513"/>
      <c r="KV55" s="513"/>
      <c r="KW55" s="513"/>
      <c r="KX55" s="513"/>
      <c r="KY55" s="513"/>
      <c r="KZ55" s="513"/>
      <c r="LA55" s="513"/>
      <c r="LB55" s="513"/>
      <c r="LC55" s="513"/>
      <c r="LD55" s="513"/>
      <c r="LE55" s="513"/>
      <c r="LF55" s="513"/>
      <c r="LG55" s="513"/>
      <c r="LH55" s="513"/>
      <c r="LI55" s="513"/>
      <c r="LJ55" s="513"/>
      <c r="LK55" s="513"/>
      <c r="LL55" s="513"/>
      <c r="LM55" s="513"/>
      <c r="LN55" s="513"/>
      <c r="LO55" s="513"/>
      <c r="LP55" s="513"/>
      <c r="LQ55" s="513"/>
      <c r="LR55" s="513"/>
      <c r="LS55" s="513"/>
      <c r="LT55" s="513"/>
      <c r="LU55" s="513"/>
      <c r="LV55" s="513"/>
      <c r="LW55" s="513"/>
      <c r="LX55" s="513"/>
      <c r="LY55" s="513"/>
      <c r="LZ55" s="513"/>
      <c r="MA55" s="513"/>
      <c r="MB55" s="513"/>
      <c r="MC55" s="513"/>
      <c r="MD55" s="513"/>
      <c r="ME55" s="513"/>
      <c r="MF55" s="513"/>
      <c r="MG55" s="513"/>
      <c r="MH55" s="513"/>
      <c r="MI55" s="513"/>
      <c r="MJ55" s="513"/>
      <c r="MK55" s="513"/>
      <c r="ML55" s="513"/>
      <c r="MM55" s="513"/>
      <c r="MN55" s="513"/>
      <c r="MO55" s="513"/>
      <c r="MP55" s="513"/>
      <c r="MQ55" s="513"/>
      <c r="MR55" s="513"/>
      <c r="MS55" s="513"/>
      <c r="MT55" s="513"/>
      <c r="MU55" s="513"/>
      <c r="MV55" s="513"/>
      <c r="MW55" s="513"/>
      <c r="MX55" s="513"/>
      <c r="MY55" s="513"/>
      <c r="MZ55" s="513"/>
      <c r="NA55" s="513"/>
      <c r="NB55" s="513"/>
      <c r="NC55" s="513"/>
      <c r="ND55" s="513"/>
      <c r="NE55" s="513"/>
      <c r="NF55" s="513"/>
      <c r="NG55" s="513"/>
      <c r="NH55" s="513"/>
      <c r="NI55" s="513"/>
      <c r="NJ55" s="513"/>
      <c r="NK55" s="513"/>
      <c r="NL55" s="513"/>
      <c r="NM55" s="513"/>
      <c r="NN55" s="513"/>
      <c r="NO55" s="513"/>
      <c r="NP55" s="513"/>
      <c r="NQ55" s="513"/>
      <c r="NR55" s="513"/>
      <c r="NS55" s="513"/>
      <c r="NT55" s="513"/>
      <c r="NU55" s="513"/>
      <c r="NV55" s="513"/>
      <c r="NW55" s="513"/>
      <c r="NX55" s="513"/>
      <c r="NY55" s="513"/>
      <c r="NZ55" s="513"/>
      <c r="OA55" s="513"/>
      <c r="OB55" s="513"/>
      <c r="OC55" s="513"/>
      <c r="OD55" s="513"/>
      <c r="OE55" s="513"/>
      <c r="OF55" s="513"/>
      <c r="OG55" s="513"/>
      <c r="OH55" s="513"/>
      <c r="OI55" s="513"/>
      <c r="OJ55" s="513"/>
      <c r="OK55" s="513"/>
      <c r="OL55" s="513"/>
      <c r="OM55" s="513"/>
      <c r="ON55" s="513"/>
      <c r="OO55" s="513"/>
      <c r="OP55" s="513"/>
      <c r="OQ55" s="513"/>
      <c r="OR55" s="513"/>
      <c r="OS55" s="513"/>
      <c r="OT55" s="513"/>
      <c r="OU55" s="513"/>
      <c r="OV55" s="513"/>
      <c r="OW55" s="513"/>
      <c r="OX55" s="513"/>
      <c r="OY55" s="513"/>
      <c r="OZ55" s="513"/>
      <c r="PA55" s="513"/>
      <c r="PB55" s="513"/>
      <c r="PC55" s="513"/>
      <c r="PD55" s="513"/>
      <c r="PE55" s="513"/>
      <c r="PF55" s="513"/>
      <c r="PG55" s="513"/>
      <c r="PH55" s="513"/>
      <c r="PI55" s="513"/>
      <c r="PJ55" s="513"/>
      <c r="PK55" s="513"/>
      <c r="PL55" s="513"/>
      <c r="PM55" s="513"/>
      <c r="PN55" s="513"/>
      <c r="PO55" s="513"/>
      <c r="PP55" s="513"/>
      <c r="PQ55" s="513"/>
      <c r="PR55" s="513"/>
      <c r="PS55" s="513"/>
      <c r="PT55" s="513"/>
      <c r="PU55" s="513"/>
      <c r="PV55" s="513"/>
      <c r="PW55" s="513"/>
      <c r="PX55" s="513"/>
      <c r="PY55" s="513"/>
      <c r="PZ55" s="513"/>
      <c r="QA55" s="513"/>
      <c r="QB55" s="513"/>
      <c r="QC55" s="513"/>
      <c r="QD55" s="513"/>
      <c r="QE55" s="513"/>
      <c r="QF55" s="513"/>
      <c r="QG55" s="513"/>
      <c r="QH55" s="513"/>
      <c r="QI55" s="513"/>
      <c r="QJ55" s="513"/>
      <c r="QK55" s="513"/>
      <c r="QL55" s="513"/>
      <c r="QM55" s="513"/>
      <c r="QN55" s="513"/>
      <c r="QO55" s="513"/>
      <c r="QP55" s="513"/>
      <c r="QQ55" s="513"/>
      <c r="QR55" s="513"/>
      <c r="QS55" s="513"/>
      <c r="QT55" s="513"/>
      <c r="QU55" s="513"/>
      <c r="QV55" s="513"/>
      <c r="QW55" s="513"/>
      <c r="QX55" s="513"/>
      <c r="QY55" s="513"/>
      <c r="QZ55" s="513"/>
      <c r="RA55" s="513"/>
      <c r="RB55" s="513"/>
      <c r="RC55" s="513"/>
      <c r="RD55" s="513"/>
      <c r="RE55" s="513"/>
      <c r="RF55" s="513"/>
      <c r="RG55" s="513"/>
      <c r="RH55" s="513"/>
      <c r="RI55" s="513"/>
      <c r="RJ55" s="513"/>
      <c r="RK55" s="513"/>
      <c r="RL55" s="513"/>
      <c r="RM55" s="513"/>
      <c r="RN55" s="513"/>
      <c r="RO55" s="513"/>
      <c r="RP55" s="513"/>
      <c r="RQ55" s="513"/>
      <c r="RR55" s="513"/>
      <c r="RS55" s="513"/>
      <c r="RT55" s="513"/>
      <c r="RU55" s="513"/>
      <c r="RV55" s="513"/>
      <c r="RW55" s="513"/>
      <c r="RX55" s="513"/>
      <c r="RY55" s="513"/>
      <c r="RZ55" s="513"/>
      <c r="SA55" s="513"/>
      <c r="SB55" s="513"/>
      <c r="SC55" s="513"/>
      <c r="SD55" s="513"/>
      <c r="SE55" s="513"/>
      <c r="SF55" s="513"/>
      <c r="SG55" s="513"/>
      <c r="SH55" s="513"/>
      <c r="SI55" s="513"/>
      <c r="SJ55" s="513"/>
      <c r="SK55" s="513"/>
      <c r="SL55" s="513"/>
      <c r="SM55" s="513"/>
      <c r="SN55" s="513"/>
      <c r="SO55" s="513"/>
      <c r="SP55" s="513"/>
      <c r="SQ55" s="513"/>
      <c r="SR55" s="513"/>
      <c r="SS55" s="513"/>
      <c r="ST55" s="513"/>
      <c r="SU55" s="513"/>
      <c r="SV55" s="513"/>
      <c r="SW55" s="513"/>
      <c r="SX55" s="513"/>
      <c r="SY55" s="513"/>
      <c r="SZ55" s="513"/>
      <c r="TA55" s="513"/>
      <c r="TB55" s="513"/>
      <c r="TC55" s="513"/>
      <c r="TD55" s="513"/>
      <c r="TE55" s="513"/>
      <c r="TF55" s="513"/>
      <c r="TG55" s="513"/>
      <c r="TH55" s="513"/>
      <c r="TI55" s="513"/>
      <c r="TJ55" s="513"/>
      <c r="TK55" s="513"/>
      <c r="TL55" s="513"/>
      <c r="TM55" s="513"/>
      <c r="TN55" s="513"/>
      <c r="TO55" s="513"/>
      <c r="TP55" s="513"/>
      <c r="TQ55" s="513"/>
      <c r="TR55" s="513"/>
      <c r="TS55" s="513"/>
      <c r="TT55" s="513"/>
      <c r="TU55" s="513"/>
      <c r="TV55" s="513"/>
      <c r="TW55" s="513"/>
      <c r="TX55" s="513"/>
      <c r="TY55" s="513"/>
      <c r="TZ55" s="513"/>
      <c r="UA55" s="513"/>
      <c r="UB55" s="513"/>
      <c r="UC55" s="513"/>
      <c r="UD55" s="513"/>
      <c r="UE55" s="513"/>
      <c r="UF55" s="513"/>
      <c r="UG55" s="513"/>
      <c r="UH55" s="513"/>
      <c r="UI55" s="513"/>
      <c r="UJ55" s="513"/>
      <c r="UK55" s="513"/>
      <c r="UL55" s="513"/>
      <c r="UM55" s="513"/>
      <c r="UN55" s="513"/>
      <c r="UO55" s="513"/>
      <c r="UP55" s="513"/>
      <c r="UQ55" s="513"/>
      <c r="UR55" s="513"/>
      <c r="US55" s="513"/>
      <c r="UT55" s="513"/>
      <c r="UU55" s="513"/>
      <c r="UV55" s="513"/>
      <c r="UW55" s="513"/>
      <c r="UX55" s="513"/>
      <c r="UY55" s="513"/>
      <c r="UZ55" s="513"/>
      <c r="VA55" s="513"/>
      <c r="VB55" s="513"/>
      <c r="VC55" s="513"/>
      <c r="VD55" s="513"/>
      <c r="VE55" s="513"/>
      <c r="VF55" s="513"/>
      <c r="VG55" s="513"/>
      <c r="VH55" s="513"/>
      <c r="VI55" s="513"/>
      <c r="VJ55" s="513"/>
      <c r="VK55" s="513"/>
      <c r="VL55" s="513"/>
      <c r="VM55" s="513"/>
      <c r="VN55" s="513"/>
      <c r="VO55" s="513"/>
      <c r="VP55" s="513"/>
      <c r="VQ55" s="513"/>
      <c r="VR55" s="513"/>
      <c r="VS55" s="513"/>
      <c r="VT55" s="513"/>
      <c r="VU55" s="513"/>
      <c r="VV55" s="513"/>
      <c r="VW55" s="513"/>
      <c r="VX55" s="513"/>
      <c r="VY55" s="513"/>
      <c r="VZ55" s="513"/>
      <c r="WA55" s="513"/>
      <c r="WB55" s="513"/>
      <c r="WC55" s="513"/>
      <c r="WD55" s="513"/>
      <c r="WE55" s="513"/>
      <c r="WF55" s="513"/>
      <c r="WG55" s="513"/>
      <c r="WH55" s="513"/>
      <c r="WI55" s="513"/>
      <c r="WJ55" s="513"/>
      <c r="WK55" s="513"/>
      <c r="WL55" s="513"/>
      <c r="WM55" s="513"/>
      <c r="WN55" s="513"/>
      <c r="WO55" s="513"/>
      <c r="WP55" s="513"/>
      <c r="WQ55" s="513"/>
      <c r="WR55" s="513"/>
      <c r="WS55" s="513"/>
      <c r="WT55" s="513"/>
      <c r="WU55" s="513"/>
      <c r="WV55" s="513"/>
      <c r="WW55" s="513"/>
      <c r="WX55" s="513"/>
      <c r="WY55" s="513"/>
      <c r="WZ55" s="513"/>
      <c r="XA55" s="513"/>
      <c r="XB55" s="513"/>
      <c r="XC55" s="513"/>
      <c r="XD55" s="513"/>
      <c r="XE55" s="513"/>
      <c r="XF55" s="513"/>
      <c r="XG55" s="513"/>
      <c r="XH55" s="513"/>
      <c r="XI55" s="513"/>
      <c r="XJ55" s="513"/>
      <c r="XK55" s="513"/>
      <c r="XL55" s="513"/>
      <c r="XM55" s="513"/>
      <c r="XN55" s="513"/>
      <c r="XO55" s="513"/>
      <c r="XP55" s="513"/>
      <c r="XQ55" s="513"/>
      <c r="XR55" s="513"/>
      <c r="XS55" s="513"/>
      <c r="XT55" s="513"/>
      <c r="XU55" s="513"/>
      <c r="XV55" s="513"/>
      <c r="XW55" s="513"/>
      <c r="XX55" s="513"/>
      <c r="XY55" s="513"/>
      <c r="XZ55" s="513"/>
      <c r="YA55" s="513"/>
      <c r="YB55" s="513"/>
      <c r="YC55" s="513"/>
      <c r="YD55" s="513"/>
      <c r="YE55" s="513"/>
      <c r="YF55" s="513"/>
      <c r="YG55" s="513"/>
      <c r="YH55" s="513"/>
      <c r="YI55" s="513"/>
      <c r="YJ55" s="513"/>
      <c r="YK55" s="513"/>
      <c r="YL55" s="513"/>
      <c r="YM55" s="513"/>
      <c r="YN55" s="513"/>
      <c r="YO55" s="513"/>
      <c r="YP55" s="513"/>
      <c r="YQ55" s="513"/>
      <c r="YR55" s="513"/>
      <c r="YS55" s="513"/>
      <c r="YT55" s="513"/>
      <c r="YU55" s="513"/>
      <c r="YV55" s="513"/>
      <c r="YW55" s="513"/>
      <c r="YX55" s="513"/>
      <c r="YY55" s="513"/>
      <c r="YZ55" s="513"/>
      <c r="ZA55" s="513"/>
      <c r="ZB55" s="513"/>
      <c r="ZC55" s="513"/>
      <c r="ZD55" s="513"/>
      <c r="ZE55" s="513"/>
      <c r="ZF55" s="513"/>
      <c r="ZG55" s="513"/>
      <c r="ZH55" s="513"/>
      <c r="ZI55" s="513"/>
      <c r="ZJ55" s="513"/>
      <c r="ZK55" s="513"/>
      <c r="ZL55" s="513"/>
      <c r="ZM55" s="513"/>
      <c r="ZN55" s="513"/>
      <c r="ZO55" s="513"/>
      <c r="ZP55" s="513"/>
      <c r="ZQ55" s="513"/>
      <c r="ZR55" s="513"/>
      <c r="ZS55" s="513"/>
      <c r="ZT55" s="513"/>
      <c r="ZU55" s="513"/>
      <c r="ZV55" s="513"/>
      <c r="ZW55" s="513"/>
      <c r="ZX55" s="513"/>
      <c r="ZY55" s="513"/>
      <c r="ZZ55" s="513"/>
      <c r="AAA55" s="513"/>
      <c r="AAB55" s="513"/>
      <c r="AAC55" s="513"/>
      <c r="AAD55" s="513"/>
      <c r="AAE55" s="513"/>
      <c r="AAF55" s="513"/>
      <c r="AAG55" s="513"/>
      <c r="AAH55" s="513"/>
      <c r="AAI55" s="513"/>
      <c r="AAJ55" s="513"/>
      <c r="AAK55" s="513"/>
      <c r="AAL55" s="513"/>
      <c r="AAM55" s="513"/>
      <c r="AAN55" s="513"/>
      <c r="AAO55" s="513"/>
      <c r="AAP55" s="513"/>
      <c r="AAQ55" s="513"/>
      <c r="AAR55" s="513"/>
      <c r="AAS55" s="513"/>
      <c r="AAT55" s="513"/>
      <c r="AAU55" s="513"/>
      <c r="AAV55" s="513"/>
      <c r="AAW55" s="513"/>
      <c r="AAX55" s="513"/>
      <c r="AAY55" s="513"/>
      <c r="AAZ55" s="513"/>
      <c r="ABA55" s="513"/>
      <c r="ABB55" s="513"/>
      <c r="ABC55" s="513"/>
      <c r="ABD55" s="513"/>
      <c r="ABE55" s="513"/>
      <c r="ABF55" s="513"/>
      <c r="ABG55" s="513"/>
      <c r="ABH55" s="513"/>
      <c r="ABI55" s="513"/>
      <c r="ABJ55" s="513"/>
      <c r="ABK55" s="513"/>
      <c r="ABL55" s="513"/>
      <c r="ABM55" s="513"/>
      <c r="ABN55" s="513"/>
      <c r="ABO55" s="513"/>
      <c r="ABP55" s="513"/>
      <c r="ABQ55" s="513"/>
      <c r="ABR55" s="513"/>
      <c r="ABS55" s="513"/>
      <c r="ABT55" s="513"/>
      <c r="ABU55" s="513"/>
      <c r="ABV55" s="513"/>
      <c r="ABW55" s="513"/>
      <c r="ABX55" s="513"/>
      <c r="ABY55" s="513"/>
      <c r="ABZ55" s="513"/>
      <c r="ACA55" s="513"/>
      <c r="ACB55" s="513"/>
      <c r="ACC55" s="513"/>
      <c r="ACD55" s="513"/>
      <c r="ACE55" s="513"/>
      <c r="ACF55" s="513"/>
      <c r="ACG55" s="513"/>
      <c r="ACH55" s="513"/>
      <c r="ACI55" s="513"/>
      <c r="ACJ55" s="513"/>
      <c r="ACK55" s="513"/>
      <c r="ACL55" s="513"/>
      <c r="ACM55" s="513"/>
      <c r="ACN55" s="513"/>
      <c r="ACO55" s="513"/>
      <c r="ACP55" s="513"/>
      <c r="ACQ55" s="513"/>
      <c r="ACR55" s="513"/>
      <c r="ACS55" s="513"/>
      <c r="ACT55" s="513"/>
      <c r="ACU55" s="513"/>
      <c r="ACV55" s="513"/>
      <c r="ACW55" s="513"/>
      <c r="ACX55" s="513"/>
      <c r="ACY55" s="513"/>
      <c r="ACZ55" s="513"/>
      <c r="ADA55" s="513"/>
      <c r="ADB55" s="513"/>
      <c r="ADC55" s="513"/>
      <c r="ADD55" s="513"/>
      <c r="ADE55" s="513"/>
      <c r="ADF55" s="513"/>
      <c r="ADG55" s="513"/>
      <c r="ADH55" s="513"/>
      <c r="ADI55" s="513"/>
      <c r="ADJ55" s="513"/>
      <c r="ADK55" s="513"/>
      <c r="ADL55" s="513"/>
      <c r="ADM55" s="513"/>
      <c r="ADN55" s="513"/>
      <c r="ADO55" s="513"/>
      <c r="ADP55" s="513"/>
      <c r="ADQ55" s="513"/>
      <c r="ADR55" s="513"/>
      <c r="ADS55" s="513"/>
      <c r="ADT55" s="513"/>
      <c r="ADU55" s="513"/>
      <c r="ADV55" s="513"/>
      <c r="ADW55" s="513"/>
      <c r="ADX55" s="513"/>
      <c r="ADY55" s="513"/>
      <c r="ADZ55" s="513"/>
      <c r="AEA55" s="513"/>
      <c r="AEB55" s="513"/>
      <c r="AEC55" s="513"/>
      <c r="AED55" s="513"/>
      <c r="AEE55" s="513"/>
      <c r="AEF55" s="513"/>
      <c r="AEG55" s="513"/>
      <c r="AEH55" s="513"/>
      <c r="AEI55" s="513"/>
      <c r="AEJ55" s="513"/>
      <c r="AEK55" s="513"/>
      <c r="AEL55" s="513"/>
      <c r="AEM55" s="513"/>
      <c r="AEN55" s="513"/>
      <c r="AEO55" s="513"/>
      <c r="AEP55" s="513"/>
      <c r="AEQ55" s="513"/>
      <c r="AER55" s="513"/>
      <c r="AES55" s="513"/>
      <c r="AET55" s="513"/>
      <c r="AEU55" s="513"/>
      <c r="AEV55" s="513"/>
      <c r="AEW55" s="513"/>
      <c r="AEX55" s="513"/>
      <c r="AEY55" s="513"/>
      <c r="AEZ55" s="513"/>
      <c r="AFA55" s="513"/>
      <c r="AFB55" s="513"/>
      <c r="AFC55" s="513"/>
      <c r="AFD55" s="513"/>
      <c r="AFE55" s="513"/>
      <c r="AFF55" s="513"/>
      <c r="AFG55" s="513"/>
      <c r="AFH55" s="513"/>
      <c r="AFI55" s="513"/>
      <c r="AFJ55" s="513"/>
      <c r="AFK55" s="513"/>
      <c r="AFL55" s="513"/>
      <c r="AFM55" s="513"/>
      <c r="AFN55" s="513"/>
      <c r="AFO55" s="513"/>
      <c r="AFP55" s="513"/>
      <c r="AFQ55" s="513"/>
      <c r="AFR55" s="513"/>
      <c r="AFS55" s="513"/>
      <c r="AFT55" s="513"/>
      <c r="AFU55" s="513"/>
      <c r="AFV55" s="513"/>
      <c r="AFW55" s="513"/>
      <c r="AFX55" s="513"/>
      <c r="AFY55" s="513"/>
      <c r="AFZ55" s="513"/>
      <c r="AGA55" s="513"/>
      <c r="AGB55" s="513"/>
      <c r="AGC55" s="513"/>
      <c r="AGD55" s="513"/>
      <c r="AGE55" s="513"/>
      <c r="AGF55" s="513"/>
      <c r="AGG55" s="513"/>
      <c r="AGH55" s="513"/>
      <c r="AGI55" s="513"/>
      <c r="AGJ55" s="513"/>
      <c r="AGK55" s="513"/>
      <c r="AGL55" s="513"/>
      <c r="AGM55" s="513"/>
      <c r="AGN55" s="513"/>
      <c r="AGO55" s="513"/>
      <c r="AGP55" s="513"/>
      <c r="AGQ55" s="513"/>
      <c r="AGR55" s="513"/>
      <c r="AGS55" s="513"/>
      <c r="AGT55" s="513"/>
      <c r="AGU55" s="513"/>
      <c r="AGV55" s="513"/>
      <c r="AGW55" s="513"/>
      <c r="AGX55" s="513"/>
      <c r="AGY55" s="513"/>
      <c r="AGZ55" s="513"/>
      <c r="AHA55" s="513"/>
      <c r="AHB55" s="513"/>
      <c r="AHC55" s="513"/>
      <c r="AHD55" s="513"/>
      <c r="AHE55" s="513"/>
      <c r="AHF55" s="513"/>
      <c r="AHG55" s="513"/>
      <c r="AHH55" s="513"/>
      <c r="AHI55" s="513"/>
      <c r="AHJ55" s="513"/>
      <c r="AHK55" s="513"/>
      <c r="AHL55" s="513"/>
      <c r="AHM55" s="513"/>
      <c r="AHN55" s="513"/>
      <c r="AHO55" s="513"/>
      <c r="AHP55" s="513"/>
      <c r="AHQ55" s="513"/>
      <c r="AHR55" s="513"/>
      <c r="AHS55" s="513"/>
      <c r="AHT55" s="513"/>
      <c r="AHU55" s="513"/>
      <c r="AHV55" s="513"/>
      <c r="AHW55" s="513"/>
      <c r="AHX55" s="513"/>
      <c r="AHY55" s="513"/>
      <c r="AHZ55" s="513"/>
      <c r="AIA55" s="513"/>
      <c r="AIB55" s="513"/>
      <c r="AIC55" s="513"/>
      <c r="AID55" s="513"/>
      <c r="AIE55" s="513"/>
      <c r="AIF55" s="513"/>
      <c r="AIG55" s="513"/>
      <c r="AIH55" s="513"/>
      <c r="AII55" s="513"/>
      <c r="AIJ55" s="513"/>
      <c r="AIK55" s="513"/>
      <c r="AIL55" s="513"/>
      <c r="AIM55" s="513"/>
      <c r="AIN55" s="513"/>
      <c r="AIO55" s="513"/>
      <c r="AIP55" s="513"/>
      <c r="AIQ55" s="513"/>
      <c r="AIR55" s="513"/>
      <c r="AIS55" s="513"/>
      <c r="AIT55" s="513"/>
      <c r="AIU55" s="513"/>
      <c r="AIV55" s="513"/>
      <c r="AIW55" s="513"/>
      <c r="AIX55" s="513"/>
      <c r="AIY55" s="513"/>
      <c r="AIZ55" s="513"/>
      <c r="AJA55" s="513"/>
      <c r="AJB55" s="513"/>
      <c r="AJC55" s="513"/>
      <c r="AJD55" s="513"/>
      <c r="AJE55" s="513"/>
      <c r="AJF55" s="513"/>
      <c r="AJG55" s="513"/>
      <c r="AJH55" s="513"/>
      <c r="AJI55" s="513"/>
      <c r="AJJ55" s="513"/>
      <c r="AJK55" s="513"/>
      <c r="AJL55" s="513"/>
      <c r="AJM55" s="513"/>
      <c r="AJN55" s="513"/>
      <c r="AJO55" s="513"/>
      <c r="AJP55" s="513"/>
      <c r="AJQ55" s="513"/>
      <c r="AJR55" s="513"/>
      <c r="AJS55" s="513"/>
      <c r="AJT55" s="513"/>
      <c r="AJU55" s="513"/>
      <c r="AJV55" s="513"/>
      <c r="AJW55" s="513"/>
      <c r="AJX55" s="513"/>
      <c r="AJY55" s="513"/>
      <c r="AJZ55" s="513"/>
      <c r="AKA55" s="513"/>
      <c r="AKB55" s="513"/>
      <c r="AKC55" s="513"/>
      <c r="AKD55" s="513"/>
      <c r="AKE55" s="513"/>
      <c r="AKF55" s="513"/>
      <c r="AKG55" s="513"/>
      <c r="AKH55" s="513"/>
      <c r="AKI55" s="513"/>
      <c r="AKJ55" s="513"/>
      <c r="AKK55" s="513"/>
      <c r="AKL55" s="513"/>
      <c r="AKM55" s="513"/>
      <c r="AKN55" s="513"/>
      <c r="AKO55" s="513"/>
      <c r="AKP55" s="513"/>
      <c r="AKQ55" s="513"/>
      <c r="AKR55" s="513"/>
      <c r="AKS55" s="513"/>
      <c r="AKT55" s="513"/>
      <c r="AKU55" s="513"/>
      <c r="AKV55" s="513"/>
      <c r="AKW55" s="513"/>
      <c r="AKX55" s="513"/>
      <c r="AKY55" s="513"/>
      <c r="AKZ55" s="513"/>
      <c r="ALA55" s="513"/>
      <c r="ALB55" s="513"/>
      <c r="ALC55" s="513"/>
      <c r="ALD55" s="513"/>
      <c r="ALE55" s="513"/>
      <c r="ALF55" s="513"/>
      <c r="ALG55" s="513"/>
      <c r="ALH55" s="513"/>
      <c r="ALI55" s="513"/>
      <c r="ALJ55" s="513"/>
      <c r="ALK55" s="513"/>
      <c r="ALL55" s="513"/>
      <c r="ALM55" s="513"/>
      <c r="ALN55" s="513"/>
      <c r="ALO55" s="513"/>
      <c r="ALP55" s="513"/>
      <c r="ALQ55" s="513"/>
      <c r="ALR55" s="513"/>
      <c r="ALS55" s="513"/>
      <c r="ALT55" s="513"/>
      <c r="ALU55" s="513"/>
      <c r="ALV55" s="513"/>
      <c r="ALW55" s="513"/>
      <c r="ALX55" s="513"/>
      <c r="ALY55" s="513"/>
      <c r="ALZ55" s="513"/>
      <c r="AMA55" s="513"/>
      <c r="AMB55" s="513"/>
      <c r="AMC55" s="513"/>
      <c r="AMD55" s="513"/>
      <c r="AME55" s="513"/>
      <c r="AMF55" s="513"/>
      <c r="AMG55" s="513"/>
      <c r="AMH55" s="513"/>
      <c r="AMI55" s="513"/>
      <c r="AMJ55" s="513"/>
      <c r="AMK55" s="513"/>
    </row>
    <row r="56" spans="1:1025" ht="15.95" customHeight="1" x14ac:dyDescent="0.25">
      <c r="A56" s="542"/>
      <c r="B56" s="543"/>
      <c r="C56" s="537"/>
      <c r="D56" s="537"/>
      <c r="E56" s="538"/>
      <c r="F56" s="518"/>
      <c r="G56" s="536"/>
      <c r="H56" s="537"/>
      <c r="I56" s="538"/>
      <c r="J56" s="531"/>
      <c r="K56" s="531"/>
      <c r="L56" s="531"/>
      <c r="M56" s="531"/>
      <c r="N56" s="531"/>
      <c r="O56" s="531"/>
      <c r="P56" s="531"/>
      <c r="Q56" s="531"/>
      <c r="R56" s="512"/>
      <c r="S56" s="513"/>
      <c r="T56" s="513"/>
      <c r="U56" s="513"/>
      <c r="V56" s="513"/>
      <c r="W56" s="513"/>
      <c r="X56" s="513"/>
      <c r="Y56" s="513"/>
      <c r="Z56" s="513"/>
      <c r="AA56" s="513"/>
      <c r="AB56" s="513"/>
      <c r="AC56" s="513"/>
      <c r="AD56" s="513"/>
      <c r="AE56" s="513"/>
      <c r="AF56" s="513"/>
      <c r="AG56" s="513"/>
      <c r="AH56" s="513"/>
      <c r="AI56" s="513"/>
      <c r="AJ56" s="513"/>
      <c r="AK56" s="513"/>
      <c r="AL56" s="513"/>
      <c r="AM56" s="513"/>
      <c r="AN56" s="513"/>
      <c r="AO56" s="513"/>
      <c r="AP56" s="513"/>
      <c r="AQ56" s="513"/>
      <c r="AR56" s="513"/>
      <c r="AS56" s="513"/>
      <c r="AT56" s="513"/>
      <c r="AU56" s="513"/>
      <c r="AV56" s="513"/>
      <c r="AW56" s="513"/>
      <c r="AX56" s="513"/>
      <c r="AY56" s="513"/>
      <c r="AZ56" s="513"/>
      <c r="BA56" s="513"/>
      <c r="BB56" s="513"/>
      <c r="BC56" s="513"/>
      <c r="BD56" s="513"/>
      <c r="BE56" s="513"/>
      <c r="BF56" s="513"/>
      <c r="BG56" s="513"/>
      <c r="BH56" s="513"/>
      <c r="BI56" s="513"/>
      <c r="BJ56" s="513"/>
      <c r="BK56" s="513"/>
      <c r="BL56" s="513"/>
      <c r="BM56" s="513"/>
      <c r="BN56" s="513"/>
      <c r="BO56" s="513"/>
      <c r="BP56" s="513"/>
      <c r="BQ56" s="513"/>
      <c r="BR56" s="513"/>
      <c r="BS56" s="513"/>
      <c r="BT56" s="513"/>
      <c r="BU56" s="513"/>
      <c r="BV56" s="513"/>
      <c r="BW56" s="513"/>
      <c r="BX56" s="513"/>
      <c r="BY56" s="513"/>
      <c r="BZ56" s="513"/>
      <c r="CA56" s="513"/>
      <c r="CB56" s="513"/>
      <c r="CC56" s="513"/>
      <c r="CD56" s="513"/>
      <c r="CE56" s="513"/>
      <c r="CF56" s="513"/>
      <c r="CG56" s="513"/>
      <c r="CH56" s="513"/>
      <c r="CI56" s="513"/>
      <c r="CJ56" s="513"/>
      <c r="CK56" s="513"/>
      <c r="CL56" s="513"/>
      <c r="CM56" s="513"/>
      <c r="CN56" s="513"/>
      <c r="CO56" s="513"/>
      <c r="CP56" s="513"/>
      <c r="CQ56" s="513"/>
      <c r="CR56" s="513"/>
      <c r="CS56" s="513"/>
      <c r="CT56" s="513"/>
      <c r="CU56" s="513"/>
      <c r="CV56" s="513"/>
      <c r="CW56" s="513"/>
      <c r="CX56" s="513"/>
      <c r="CY56" s="513"/>
      <c r="CZ56" s="513"/>
      <c r="DA56" s="513"/>
      <c r="DB56" s="513"/>
      <c r="DC56" s="513"/>
      <c r="DD56" s="513"/>
      <c r="DE56" s="513"/>
      <c r="DF56" s="513"/>
      <c r="DG56" s="513"/>
      <c r="DH56" s="513"/>
      <c r="DI56" s="513"/>
      <c r="DJ56" s="513"/>
      <c r="DK56" s="513"/>
      <c r="DL56" s="513"/>
      <c r="DM56" s="513"/>
      <c r="DN56" s="513"/>
      <c r="DO56" s="513"/>
      <c r="DP56" s="513"/>
      <c r="DQ56" s="513"/>
      <c r="DR56" s="513"/>
      <c r="DS56" s="513"/>
      <c r="DT56" s="513"/>
      <c r="DU56" s="513"/>
      <c r="DV56" s="513"/>
      <c r="DW56" s="513"/>
      <c r="DX56" s="513"/>
      <c r="DY56" s="513"/>
      <c r="DZ56" s="513"/>
      <c r="EA56" s="513"/>
      <c r="EB56" s="513"/>
      <c r="EC56" s="513"/>
      <c r="ED56" s="513"/>
      <c r="EE56" s="513"/>
      <c r="EF56" s="513"/>
      <c r="EG56" s="513"/>
      <c r="EH56" s="513"/>
      <c r="EI56" s="513"/>
      <c r="EJ56" s="513"/>
      <c r="EK56" s="513"/>
      <c r="EL56" s="513"/>
      <c r="EM56" s="513"/>
      <c r="EN56" s="513"/>
      <c r="EO56" s="513"/>
      <c r="EP56" s="513"/>
      <c r="EQ56" s="513"/>
      <c r="ER56" s="513"/>
      <c r="ES56" s="513"/>
      <c r="ET56" s="513"/>
      <c r="EU56" s="513"/>
      <c r="EV56" s="513"/>
      <c r="EW56" s="513"/>
      <c r="EX56" s="513"/>
      <c r="EY56" s="513"/>
      <c r="EZ56" s="513"/>
      <c r="FA56" s="513"/>
      <c r="FB56" s="513"/>
      <c r="FC56" s="513"/>
      <c r="FD56" s="513"/>
      <c r="FE56" s="513"/>
      <c r="FF56" s="513"/>
      <c r="FG56" s="513"/>
      <c r="FH56" s="513"/>
      <c r="FI56" s="513"/>
      <c r="FJ56" s="513"/>
      <c r="FK56" s="513"/>
      <c r="FL56" s="513"/>
      <c r="FM56" s="513"/>
      <c r="FN56" s="513"/>
      <c r="FO56" s="513"/>
      <c r="FP56" s="513"/>
      <c r="FQ56" s="513"/>
      <c r="FR56" s="513"/>
      <c r="FS56" s="513"/>
      <c r="FT56" s="513"/>
      <c r="FU56" s="513"/>
      <c r="FV56" s="513"/>
      <c r="FW56" s="513"/>
      <c r="FX56" s="513"/>
      <c r="FY56" s="513"/>
      <c r="FZ56" s="513"/>
      <c r="GA56" s="513"/>
      <c r="GB56" s="513"/>
      <c r="GC56" s="513"/>
      <c r="GD56" s="513"/>
      <c r="GE56" s="513"/>
      <c r="GF56" s="513"/>
      <c r="GG56" s="513"/>
      <c r="GH56" s="513"/>
      <c r="GI56" s="513"/>
      <c r="GJ56" s="513"/>
      <c r="GK56" s="513"/>
      <c r="GL56" s="513"/>
      <c r="GM56" s="513"/>
      <c r="GN56" s="513"/>
      <c r="GO56" s="513"/>
      <c r="GP56" s="513"/>
      <c r="GQ56" s="513"/>
      <c r="GR56" s="513"/>
      <c r="GS56" s="513"/>
      <c r="GT56" s="513"/>
      <c r="GU56" s="513"/>
      <c r="GV56" s="513"/>
      <c r="GW56" s="513"/>
      <c r="GX56" s="513"/>
      <c r="GY56" s="513"/>
      <c r="GZ56" s="513"/>
      <c r="HA56" s="513"/>
      <c r="HB56" s="513"/>
      <c r="HC56" s="513"/>
      <c r="HD56" s="513"/>
      <c r="HE56" s="513"/>
      <c r="HF56" s="513"/>
      <c r="HG56" s="513"/>
      <c r="HH56" s="513"/>
      <c r="HI56" s="513"/>
      <c r="HJ56" s="513"/>
      <c r="HK56" s="513"/>
      <c r="HL56" s="513"/>
      <c r="HM56" s="513"/>
      <c r="HN56" s="513"/>
      <c r="HO56" s="513"/>
      <c r="HP56" s="513"/>
      <c r="HQ56" s="513"/>
      <c r="HR56" s="513"/>
      <c r="HS56" s="513"/>
      <c r="HT56" s="513"/>
      <c r="HU56" s="513"/>
      <c r="HV56" s="513"/>
      <c r="HW56" s="513"/>
      <c r="HX56" s="513"/>
      <c r="HY56" s="513"/>
      <c r="HZ56" s="513"/>
      <c r="IA56" s="513"/>
      <c r="IB56" s="513"/>
      <c r="IC56" s="513"/>
      <c r="ID56" s="513"/>
      <c r="IE56" s="513"/>
      <c r="IF56" s="513"/>
      <c r="IG56" s="513"/>
      <c r="IH56" s="513"/>
      <c r="II56" s="513"/>
      <c r="IJ56" s="513"/>
      <c r="IK56" s="513"/>
      <c r="IL56" s="513"/>
      <c r="IM56" s="513"/>
      <c r="IN56" s="513"/>
      <c r="IO56" s="513"/>
      <c r="IP56" s="513"/>
      <c r="IQ56" s="513"/>
      <c r="IR56" s="513"/>
      <c r="IS56" s="513"/>
      <c r="IT56" s="513"/>
      <c r="IU56" s="513"/>
      <c r="IV56" s="513"/>
      <c r="IW56" s="513"/>
      <c r="IX56" s="513"/>
      <c r="IY56" s="513"/>
      <c r="IZ56" s="513"/>
      <c r="JA56" s="513"/>
      <c r="JB56" s="513"/>
      <c r="JC56" s="513"/>
      <c r="JD56" s="513"/>
      <c r="JE56" s="513"/>
      <c r="JF56" s="513"/>
      <c r="JG56" s="513"/>
      <c r="JH56" s="513"/>
      <c r="JI56" s="513"/>
      <c r="JJ56" s="513"/>
      <c r="JK56" s="513"/>
      <c r="JL56" s="513"/>
      <c r="JM56" s="513"/>
      <c r="JN56" s="513"/>
      <c r="JO56" s="513"/>
      <c r="JP56" s="513"/>
      <c r="JQ56" s="513"/>
      <c r="JR56" s="513"/>
      <c r="JS56" s="513"/>
      <c r="JT56" s="513"/>
      <c r="JU56" s="513"/>
      <c r="JV56" s="513"/>
      <c r="JW56" s="513"/>
      <c r="JX56" s="513"/>
      <c r="JY56" s="513"/>
      <c r="JZ56" s="513"/>
      <c r="KA56" s="513"/>
      <c r="KB56" s="513"/>
      <c r="KC56" s="513"/>
      <c r="KD56" s="513"/>
      <c r="KE56" s="513"/>
      <c r="KF56" s="513"/>
      <c r="KG56" s="513"/>
      <c r="KH56" s="513"/>
      <c r="KI56" s="513"/>
      <c r="KJ56" s="513"/>
      <c r="KK56" s="513"/>
      <c r="KL56" s="513"/>
      <c r="KM56" s="513"/>
      <c r="KN56" s="513"/>
      <c r="KO56" s="513"/>
      <c r="KP56" s="513"/>
      <c r="KQ56" s="513"/>
      <c r="KR56" s="513"/>
      <c r="KS56" s="513"/>
      <c r="KT56" s="513"/>
      <c r="KU56" s="513"/>
      <c r="KV56" s="513"/>
      <c r="KW56" s="513"/>
      <c r="KX56" s="513"/>
      <c r="KY56" s="513"/>
      <c r="KZ56" s="513"/>
      <c r="LA56" s="513"/>
      <c r="LB56" s="513"/>
      <c r="LC56" s="513"/>
      <c r="LD56" s="513"/>
      <c r="LE56" s="513"/>
      <c r="LF56" s="513"/>
      <c r="LG56" s="513"/>
      <c r="LH56" s="513"/>
      <c r="LI56" s="513"/>
      <c r="LJ56" s="513"/>
      <c r="LK56" s="513"/>
      <c r="LL56" s="513"/>
      <c r="LM56" s="513"/>
      <c r="LN56" s="513"/>
      <c r="LO56" s="513"/>
      <c r="LP56" s="513"/>
      <c r="LQ56" s="513"/>
      <c r="LR56" s="513"/>
      <c r="LS56" s="513"/>
      <c r="LT56" s="513"/>
      <c r="LU56" s="513"/>
      <c r="LV56" s="513"/>
      <c r="LW56" s="513"/>
      <c r="LX56" s="513"/>
      <c r="LY56" s="513"/>
      <c r="LZ56" s="513"/>
      <c r="MA56" s="513"/>
      <c r="MB56" s="513"/>
      <c r="MC56" s="513"/>
      <c r="MD56" s="513"/>
      <c r="ME56" s="513"/>
      <c r="MF56" s="513"/>
      <c r="MG56" s="513"/>
      <c r="MH56" s="513"/>
      <c r="MI56" s="513"/>
      <c r="MJ56" s="513"/>
      <c r="MK56" s="513"/>
      <c r="ML56" s="513"/>
      <c r="MM56" s="513"/>
      <c r="MN56" s="513"/>
      <c r="MO56" s="513"/>
      <c r="MP56" s="513"/>
      <c r="MQ56" s="513"/>
      <c r="MR56" s="513"/>
      <c r="MS56" s="513"/>
      <c r="MT56" s="513"/>
      <c r="MU56" s="513"/>
      <c r="MV56" s="513"/>
      <c r="MW56" s="513"/>
      <c r="MX56" s="513"/>
      <c r="MY56" s="513"/>
      <c r="MZ56" s="513"/>
      <c r="NA56" s="513"/>
      <c r="NB56" s="513"/>
      <c r="NC56" s="513"/>
      <c r="ND56" s="513"/>
      <c r="NE56" s="513"/>
      <c r="NF56" s="513"/>
      <c r="NG56" s="513"/>
      <c r="NH56" s="513"/>
      <c r="NI56" s="513"/>
      <c r="NJ56" s="513"/>
      <c r="NK56" s="513"/>
      <c r="NL56" s="513"/>
      <c r="NM56" s="513"/>
      <c r="NN56" s="513"/>
      <c r="NO56" s="513"/>
      <c r="NP56" s="513"/>
      <c r="NQ56" s="513"/>
      <c r="NR56" s="513"/>
      <c r="NS56" s="513"/>
      <c r="NT56" s="513"/>
      <c r="NU56" s="513"/>
      <c r="NV56" s="513"/>
      <c r="NW56" s="513"/>
      <c r="NX56" s="513"/>
      <c r="NY56" s="513"/>
      <c r="NZ56" s="513"/>
      <c r="OA56" s="513"/>
      <c r="OB56" s="513"/>
      <c r="OC56" s="513"/>
      <c r="OD56" s="513"/>
      <c r="OE56" s="513"/>
      <c r="OF56" s="513"/>
      <c r="OG56" s="513"/>
      <c r="OH56" s="513"/>
      <c r="OI56" s="513"/>
      <c r="OJ56" s="513"/>
      <c r="OK56" s="513"/>
      <c r="OL56" s="513"/>
      <c r="OM56" s="513"/>
      <c r="ON56" s="513"/>
      <c r="OO56" s="513"/>
      <c r="OP56" s="513"/>
      <c r="OQ56" s="513"/>
      <c r="OR56" s="513"/>
      <c r="OS56" s="513"/>
      <c r="OT56" s="513"/>
      <c r="OU56" s="513"/>
      <c r="OV56" s="513"/>
      <c r="OW56" s="513"/>
      <c r="OX56" s="513"/>
      <c r="OY56" s="513"/>
      <c r="OZ56" s="513"/>
      <c r="PA56" s="513"/>
      <c r="PB56" s="513"/>
      <c r="PC56" s="513"/>
      <c r="PD56" s="513"/>
      <c r="PE56" s="513"/>
      <c r="PF56" s="513"/>
      <c r="PG56" s="513"/>
      <c r="PH56" s="513"/>
      <c r="PI56" s="513"/>
      <c r="PJ56" s="513"/>
      <c r="PK56" s="513"/>
      <c r="PL56" s="513"/>
      <c r="PM56" s="513"/>
      <c r="PN56" s="513"/>
      <c r="PO56" s="513"/>
      <c r="PP56" s="513"/>
      <c r="PQ56" s="513"/>
      <c r="PR56" s="513"/>
      <c r="PS56" s="513"/>
      <c r="PT56" s="513"/>
      <c r="PU56" s="513"/>
      <c r="PV56" s="513"/>
      <c r="PW56" s="513"/>
      <c r="PX56" s="513"/>
      <c r="PY56" s="513"/>
      <c r="PZ56" s="513"/>
      <c r="QA56" s="513"/>
      <c r="QB56" s="513"/>
      <c r="QC56" s="513"/>
      <c r="QD56" s="513"/>
      <c r="QE56" s="513"/>
      <c r="QF56" s="513"/>
      <c r="QG56" s="513"/>
      <c r="QH56" s="513"/>
      <c r="QI56" s="513"/>
      <c r="QJ56" s="513"/>
      <c r="QK56" s="513"/>
      <c r="QL56" s="513"/>
      <c r="QM56" s="513"/>
      <c r="QN56" s="513"/>
      <c r="QO56" s="513"/>
      <c r="QP56" s="513"/>
      <c r="QQ56" s="513"/>
      <c r="QR56" s="513"/>
      <c r="QS56" s="513"/>
      <c r="QT56" s="513"/>
      <c r="QU56" s="513"/>
      <c r="QV56" s="513"/>
      <c r="QW56" s="513"/>
      <c r="QX56" s="513"/>
      <c r="QY56" s="513"/>
      <c r="QZ56" s="513"/>
      <c r="RA56" s="513"/>
      <c r="RB56" s="513"/>
      <c r="RC56" s="513"/>
      <c r="RD56" s="513"/>
      <c r="RE56" s="513"/>
      <c r="RF56" s="513"/>
      <c r="RG56" s="513"/>
      <c r="RH56" s="513"/>
      <c r="RI56" s="513"/>
      <c r="RJ56" s="513"/>
      <c r="RK56" s="513"/>
      <c r="RL56" s="513"/>
      <c r="RM56" s="513"/>
      <c r="RN56" s="513"/>
      <c r="RO56" s="513"/>
      <c r="RP56" s="513"/>
      <c r="RQ56" s="513"/>
      <c r="RR56" s="513"/>
      <c r="RS56" s="513"/>
      <c r="RT56" s="513"/>
      <c r="RU56" s="513"/>
      <c r="RV56" s="513"/>
      <c r="RW56" s="513"/>
      <c r="RX56" s="513"/>
      <c r="RY56" s="513"/>
      <c r="RZ56" s="513"/>
      <c r="SA56" s="513"/>
      <c r="SB56" s="513"/>
      <c r="SC56" s="513"/>
      <c r="SD56" s="513"/>
      <c r="SE56" s="513"/>
      <c r="SF56" s="513"/>
      <c r="SG56" s="513"/>
      <c r="SH56" s="513"/>
      <c r="SI56" s="513"/>
      <c r="SJ56" s="513"/>
      <c r="SK56" s="513"/>
      <c r="SL56" s="513"/>
      <c r="SM56" s="513"/>
      <c r="SN56" s="513"/>
      <c r="SO56" s="513"/>
      <c r="SP56" s="513"/>
      <c r="SQ56" s="513"/>
      <c r="SR56" s="513"/>
      <c r="SS56" s="513"/>
      <c r="ST56" s="513"/>
      <c r="SU56" s="513"/>
      <c r="SV56" s="513"/>
      <c r="SW56" s="513"/>
      <c r="SX56" s="513"/>
      <c r="SY56" s="513"/>
      <c r="SZ56" s="513"/>
      <c r="TA56" s="513"/>
      <c r="TB56" s="513"/>
      <c r="TC56" s="513"/>
      <c r="TD56" s="513"/>
      <c r="TE56" s="513"/>
      <c r="TF56" s="513"/>
      <c r="TG56" s="513"/>
      <c r="TH56" s="513"/>
      <c r="TI56" s="513"/>
      <c r="TJ56" s="513"/>
      <c r="TK56" s="513"/>
      <c r="TL56" s="513"/>
      <c r="TM56" s="513"/>
      <c r="TN56" s="513"/>
      <c r="TO56" s="513"/>
      <c r="TP56" s="513"/>
      <c r="TQ56" s="513"/>
      <c r="TR56" s="513"/>
      <c r="TS56" s="513"/>
      <c r="TT56" s="513"/>
      <c r="TU56" s="513"/>
      <c r="TV56" s="513"/>
      <c r="TW56" s="513"/>
      <c r="TX56" s="513"/>
      <c r="TY56" s="513"/>
      <c r="TZ56" s="513"/>
      <c r="UA56" s="513"/>
      <c r="UB56" s="513"/>
      <c r="UC56" s="513"/>
      <c r="UD56" s="513"/>
      <c r="UE56" s="513"/>
      <c r="UF56" s="513"/>
      <c r="UG56" s="513"/>
      <c r="UH56" s="513"/>
      <c r="UI56" s="513"/>
      <c r="UJ56" s="513"/>
      <c r="UK56" s="513"/>
      <c r="UL56" s="513"/>
      <c r="UM56" s="513"/>
      <c r="UN56" s="513"/>
      <c r="UO56" s="513"/>
      <c r="UP56" s="513"/>
      <c r="UQ56" s="513"/>
      <c r="UR56" s="513"/>
      <c r="US56" s="513"/>
      <c r="UT56" s="513"/>
      <c r="UU56" s="513"/>
      <c r="UV56" s="513"/>
      <c r="UW56" s="513"/>
      <c r="UX56" s="513"/>
      <c r="UY56" s="513"/>
      <c r="UZ56" s="513"/>
      <c r="VA56" s="513"/>
      <c r="VB56" s="513"/>
      <c r="VC56" s="513"/>
      <c r="VD56" s="513"/>
      <c r="VE56" s="513"/>
      <c r="VF56" s="513"/>
      <c r="VG56" s="513"/>
      <c r="VH56" s="513"/>
      <c r="VI56" s="513"/>
      <c r="VJ56" s="513"/>
      <c r="VK56" s="513"/>
      <c r="VL56" s="513"/>
      <c r="VM56" s="513"/>
      <c r="VN56" s="513"/>
      <c r="VO56" s="513"/>
      <c r="VP56" s="513"/>
      <c r="VQ56" s="513"/>
      <c r="VR56" s="513"/>
      <c r="VS56" s="513"/>
      <c r="VT56" s="513"/>
      <c r="VU56" s="513"/>
      <c r="VV56" s="513"/>
      <c r="VW56" s="513"/>
      <c r="VX56" s="513"/>
      <c r="VY56" s="513"/>
      <c r="VZ56" s="513"/>
      <c r="WA56" s="513"/>
      <c r="WB56" s="513"/>
      <c r="WC56" s="513"/>
      <c r="WD56" s="513"/>
      <c r="WE56" s="513"/>
      <c r="WF56" s="513"/>
      <c r="WG56" s="513"/>
      <c r="WH56" s="513"/>
      <c r="WI56" s="513"/>
      <c r="WJ56" s="513"/>
      <c r="WK56" s="513"/>
      <c r="WL56" s="513"/>
      <c r="WM56" s="513"/>
      <c r="WN56" s="513"/>
      <c r="WO56" s="513"/>
      <c r="WP56" s="513"/>
      <c r="WQ56" s="513"/>
      <c r="WR56" s="513"/>
      <c r="WS56" s="513"/>
      <c r="WT56" s="513"/>
      <c r="WU56" s="513"/>
      <c r="WV56" s="513"/>
      <c r="WW56" s="513"/>
      <c r="WX56" s="513"/>
      <c r="WY56" s="513"/>
      <c r="WZ56" s="513"/>
      <c r="XA56" s="513"/>
      <c r="XB56" s="513"/>
      <c r="XC56" s="513"/>
      <c r="XD56" s="513"/>
      <c r="XE56" s="513"/>
      <c r="XF56" s="513"/>
      <c r="XG56" s="513"/>
      <c r="XH56" s="513"/>
      <c r="XI56" s="513"/>
      <c r="XJ56" s="513"/>
      <c r="XK56" s="513"/>
      <c r="XL56" s="513"/>
      <c r="XM56" s="513"/>
      <c r="XN56" s="513"/>
      <c r="XO56" s="513"/>
      <c r="XP56" s="513"/>
      <c r="XQ56" s="513"/>
      <c r="XR56" s="513"/>
      <c r="XS56" s="513"/>
      <c r="XT56" s="513"/>
      <c r="XU56" s="513"/>
      <c r="XV56" s="513"/>
      <c r="XW56" s="513"/>
      <c r="XX56" s="513"/>
      <c r="XY56" s="513"/>
      <c r="XZ56" s="513"/>
      <c r="YA56" s="513"/>
      <c r="YB56" s="513"/>
      <c r="YC56" s="513"/>
      <c r="YD56" s="513"/>
      <c r="YE56" s="513"/>
      <c r="YF56" s="513"/>
      <c r="YG56" s="513"/>
      <c r="YH56" s="513"/>
      <c r="YI56" s="513"/>
      <c r="YJ56" s="513"/>
      <c r="YK56" s="513"/>
      <c r="YL56" s="513"/>
      <c r="YM56" s="513"/>
      <c r="YN56" s="513"/>
      <c r="YO56" s="513"/>
      <c r="YP56" s="513"/>
      <c r="YQ56" s="513"/>
      <c r="YR56" s="513"/>
      <c r="YS56" s="513"/>
      <c r="YT56" s="513"/>
      <c r="YU56" s="513"/>
      <c r="YV56" s="513"/>
      <c r="YW56" s="513"/>
      <c r="YX56" s="513"/>
      <c r="YY56" s="513"/>
      <c r="YZ56" s="513"/>
      <c r="ZA56" s="513"/>
      <c r="ZB56" s="513"/>
      <c r="ZC56" s="513"/>
      <c r="ZD56" s="513"/>
      <c r="ZE56" s="513"/>
      <c r="ZF56" s="513"/>
      <c r="ZG56" s="513"/>
      <c r="ZH56" s="513"/>
      <c r="ZI56" s="513"/>
      <c r="ZJ56" s="513"/>
      <c r="ZK56" s="513"/>
      <c r="ZL56" s="513"/>
      <c r="ZM56" s="513"/>
      <c r="ZN56" s="513"/>
      <c r="ZO56" s="513"/>
      <c r="ZP56" s="513"/>
      <c r="ZQ56" s="513"/>
      <c r="ZR56" s="513"/>
      <c r="ZS56" s="513"/>
      <c r="ZT56" s="513"/>
      <c r="ZU56" s="513"/>
      <c r="ZV56" s="513"/>
      <c r="ZW56" s="513"/>
      <c r="ZX56" s="513"/>
      <c r="ZY56" s="513"/>
      <c r="ZZ56" s="513"/>
      <c r="AAA56" s="513"/>
      <c r="AAB56" s="513"/>
      <c r="AAC56" s="513"/>
      <c r="AAD56" s="513"/>
      <c r="AAE56" s="513"/>
      <c r="AAF56" s="513"/>
      <c r="AAG56" s="513"/>
      <c r="AAH56" s="513"/>
      <c r="AAI56" s="513"/>
      <c r="AAJ56" s="513"/>
      <c r="AAK56" s="513"/>
      <c r="AAL56" s="513"/>
      <c r="AAM56" s="513"/>
      <c r="AAN56" s="513"/>
      <c r="AAO56" s="513"/>
      <c r="AAP56" s="513"/>
      <c r="AAQ56" s="513"/>
      <c r="AAR56" s="513"/>
      <c r="AAS56" s="513"/>
      <c r="AAT56" s="513"/>
      <c r="AAU56" s="513"/>
      <c r="AAV56" s="513"/>
      <c r="AAW56" s="513"/>
      <c r="AAX56" s="513"/>
      <c r="AAY56" s="513"/>
      <c r="AAZ56" s="513"/>
      <c r="ABA56" s="513"/>
      <c r="ABB56" s="513"/>
      <c r="ABC56" s="513"/>
      <c r="ABD56" s="513"/>
      <c r="ABE56" s="513"/>
      <c r="ABF56" s="513"/>
      <c r="ABG56" s="513"/>
      <c r="ABH56" s="513"/>
      <c r="ABI56" s="513"/>
      <c r="ABJ56" s="513"/>
      <c r="ABK56" s="513"/>
      <c r="ABL56" s="513"/>
      <c r="ABM56" s="513"/>
      <c r="ABN56" s="513"/>
      <c r="ABO56" s="513"/>
      <c r="ABP56" s="513"/>
      <c r="ABQ56" s="513"/>
      <c r="ABR56" s="513"/>
      <c r="ABS56" s="513"/>
      <c r="ABT56" s="513"/>
      <c r="ABU56" s="513"/>
      <c r="ABV56" s="513"/>
      <c r="ABW56" s="513"/>
      <c r="ABX56" s="513"/>
      <c r="ABY56" s="513"/>
      <c r="ABZ56" s="513"/>
      <c r="ACA56" s="513"/>
      <c r="ACB56" s="513"/>
      <c r="ACC56" s="513"/>
      <c r="ACD56" s="513"/>
      <c r="ACE56" s="513"/>
      <c r="ACF56" s="513"/>
      <c r="ACG56" s="513"/>
      <c r="ACH56" s="513"/>
      <c r="ACI56" s="513"/>
      <c r="ACJ56" s="513"/>
      <c r="ACK56" s="513"/>
      <c r="ACL56" s="513"/>
      <c r="ACM56" s="513"/>
      <c r="ACN56" s="513"/>
      <c r="ACO56" s="513"/>
      <c r="ACP56" s="513"/>
      <c r="ACQ56" s="513"/>
      <c r="ACR56" s="513"/>
      <c r="ACS56" s="513"/>
      <c r="ACT56" s="513"/>
      <c r="ACU56" s="513"/>
      <c r="ACV56" s="513"/>
      <c r="ACW56" s="513"/>
      <c r="ACX56" s="513"/>
      <c r="ACY56" s="513"/>
      <c r="ACZ56" s="513"/>
      <c r="ADA56" s="513"/>
      <c r="ADB56" s="513"/>
      <c r="ADC56" s="513"/>
      <c r="ADD56" s="513"/>
      <c r="ADE56" s="513"/>
      <c r="ADF56" s="513"/>
      <c r="ADG56" s="513"/>
      <c r="ADH56" s="513"/>
      <c r="ADI56" s="513"/>
      <c r="ADJ56" s="513"/>
      <c r="ADK56" s="513"/>
      <c r="ADL56" s="513"/>
      <c r="ADM56" s="513"/>
      <c r="ADN56" s="513"/>
      <c r="ADO56" s="513"/>
      <c r="ADP56" s="513"/>
      <c r="ADQ56" s="513"/>
      <c r="ADR56" s="513"/>
      <c r="ADS56" s="513"/>
      <c r="ADT56" s="513"/>
      <c r="ADU56" s="513"/>
      <c r="ADV56" s="513"/>
      <c r="ADW56" s="513"/>
      <c r="ADX56" s="513"/>
      <c r="ADY56" s="513"/>
      <c r="ADZ56" s="513"/>
      <c r="AEA56" s="513"/>
      <c r="AEB56" s="513"/>
      <c r="AEC56" s="513"/>
      <c r="AED56" s="513"/>
      <c r="AEE56" s="513"/>
      <c r="AEF56" s="513"/>
      <c r="AEG56" s="513"/>
      <c r="AEH56" s="513"/>
      <c r="AEI56" s="513"/>
      <c r="AEJ56" s="513"/>
      <c r="AEK56" s="513"/>
      <c r="AEL56" s="513"/>
      <c r="AEM56" s="513"/>
      <c r="AEN56" s="513"/>
      <c r="AEO56" s="513"/>
      <c r="AEP56" s="513"/>
      <c r="AEQ56" s="513"/>
      <c r="AER56" s="513"/>
      <c r="AES56" s="513"/>
      <c r="AET56" s="513"/>
      <c r="AEU56" s="513"/>
      <c r="AEV56" s="513"/>
      <c r="AEW56" s="513"/>
      <c r="AEX56" s="513"/>
      <c r="AEY56" s="513"/>
      <c r="AEZ56" s="513"/>
      <c r="AFA56" s="513"/>
      <c r="AFB56" s="513"/>
      <c r="AFC56" s="513"/>
      <c r="AFD56" s="513"/>
      <c r="AFE56" s="513"/>
      <c r="AFF56" s="513"/>
      <c r="AFG56" s="513"/>
      <c r="AFH56" s="513"/>
      <c r="AFI56" s="513"/>
      <c r="AFJ56" s="513"/>
      <c r="AFK56" s="513"/>
      <c r="AFL56" s="513"/>
      <c r="AFM56" s="513"/>
      <c r="AFN56" s="513"/>
      <c r="AFO56" s="513"/>
      <c r="AFP56" s="513"/>
      <c r="AFQ56" s="513"/>
      <c r="AFR56" s="513"/>
      <c r="AFS56" s="513"/>
      <c r="AFT56" s="513"/>
      <c r="AFU56" s="513"/>
      <c r="AFV56" s="513"/>
      <c r="AFW56" s="513"/>
      <c r="AFX56" s="513"/>
      <c r="AFY56" s="513"/>
      <c r="AFZ56" s="513"/>
      <c r="AGA56" s="513"/>
      <c r="AGB56" s="513"/>
      <c r="AGC56" s="513"/>
      <c r="AGD56" s="513"/>
      <c r="AGE56" s="513"/>
      <c r="AGF56" s="513"/>
      <c r="AGG56" s="513"/>
      <c r="AGH56" s="513"/>
      <c r="AGI56" s="513"/>
      <c r="AGJ56" s="513"/>
      <c r="AGK56" s="513"/>
      <c r="AGL56" s="513"/>
      <c r="AGM56" s="513"/>
      <c r="AGN56" s="513"/>
      <c r="AGO56" s="513"/>
      <c r="AGP56" s="513"/>
      <c r="AGQ56" s="513"/>
      <c r="AGR56" s="513"/>
      <c r="AGS56" s="513"/>
      <c r="AGT56" s="513"/>
      <c r="AGU56" s="513"/>
      <c r="AGV56" s="513"/>
      <c r="AGW56" s="513"/>
      <c r="AGX56" s="513"/>
      <c r="AGY56" s="513"/>
      <c r="AGZ56" s="513"/>
      <c r="AHA56" s="513"/>
      <c r="AHB56" s="513"/>
      <c r="AHC56" s="513"/>
      <c r="AHD56" s="513"/>
      <c r="AHE56" s="513"/>
      <c r="AHF56" s="513"/>
      <c r="AHG56" s="513"/>
      <c r="AHH56" s="513"/>
      <c r="AHI56" s="513"/>
      <c r="AHJ56" s="513"/>
      <c r="AHK56" s="513"/>
      <c r="AHL56" s="513"/>
      <c r="AHM56" s="513"/>
      <c r="AHN56" s="513"/>
      <c r="AHO56" s="513"/>
      <c r="AHP56" s="513"/>
      <c r="AHQ56" s="513"/>
      <c r="AHR56" s="513"/>
      <c r="AHS56" s="513"/>
      <c r="AHT56" s="513"/>
      <c r="AHU56" s="513"/>
      <c r="AHV56" s="513"/>
      <c r="AHW56" s="513"/>
      <c r="AHX56" s="513"/>
      <c r="AHY56" s="513"/>
      <c r="AHZ56" s="513"/>
      <c r="AIA56" s="513"/>
      <c r="AIB56" s="513"/>
      <c r="AIC56" s="513"/>
      <c r="AID56" s="513"/>
      <c r="AIE56" s="513"/>
      <c r="AIF56" s="513"/>
      <c r="AIG56" s="513"/>
      <c r="AIH56" s="513"/>
      <c r="AII56" s="513"/>
      <c r="AIJ56" s="513"/>
      <c r="AIK56" s="513"/>
      <c r="AIL56" s="513"/>
      <c r="AIM56" s="513"/>
      <c r="AIN56" s="513"/>
      <c r="AIO56" s="513"/>
      <c r="AIP56" s="513"/>
      <c r="AIQ56" s="513"/>
      <c r="AIR56" s="513"/>
      <c r="AIS56" s="513"/>
      <c r="AIT56" s="513"/>
      <c r="AIU56" s="513"/>
      <c r="AIV56" s="513"/>
      <c r="AIW56" s="513"/>
      <c r="AIX56" s="513"/>
      <c r="AIY56" s="513"/>
      <c r="AIZ56" s="513"/>
      <c r="AJA56" s="513"/>
      <c r="AJB56" s="513"/>
      <c r="AJC56" s="513"/>
      <c r="AJD56" s="513"/>
      <c r="AJE56" s="513"/>
      <c r="AJF56" s="513"/>
      <c r="AJG56" s="513"/>
      <c r="AJH56" s="513"/>
      <c r="AJI56" s="513"/>
      <c r="AJJ56" s="513"/>
      <c r="AJK56" s="513"/>
      <c r="AJL56" s="513"/>
      <c r="AJM56" s="513"/>
      <c r="AJN56" s="513"/>
      <c r="AJO56" s="513"/>
      <c r="AJP56" s="513"/>
      <c r="AJQ56" s="513"/>
      <c r="AJR56" s="513"/>
      <c r="AJS56" s="513"/>
      <c r="AJT56" s="513"/>
      <c r="AJU56" s="513"/>
      <c r="AJV56" s="513"/>
      <c r="AJW56" s="513"/>
      <c r="AJX56" s="513"/>
      <c r="AJY56" s="513"/>
      <c r="AJZ56" s="513"/>
      <c r="AKA56" s="513"/>
      <c r="AKB56" s="513"/>
      <c r="AKC56" s="513"/>
      <c r="AKD56" s="513"/>
      <c r="AKE56" s="513"/>
      <c r="AKF56" s="513"/>
      <c r="AKG56" s="513"/>
      <c r="AKH56" s="513"/>
      <c r="AKI56" s="513"/>
      <c r="AKJ56" s="513"/>
      <c r="AKK56" s="513"/>
      <c r="AKL56" s="513"/>
      <c r="AKM56" s="513"/>
      <c r="AKN56" s="513"/>
      <c r="AKO56" s="513"/>
      <c r="AKP56" s="513"/>
      <c r="AKQ56" s="513"/>
      <c r="AKR56" s="513"/>
      <c r="AKS56" s="513"/>
      <c r="AKT56" s="513"/>
      <c r="AKU56" s="513"/>
      <c r="AKV56" s="513"/>
      <c r="AKW56" s="513"/>
      <c r="AKX56" s="513"/>
      <c r="AKY56" s="513"/>
      <c r="AKZ56" s="513"/>
      <c r="ALA56" s="513"/>
      <c r="ALB56" s="513"/>
      <c r="ALC56" s="513"/>
      <c r="ALD56" s="513"/>
      <c r="ALE56" s="513"/>
      <c r="ALF56" s="513"/>
      <c r="ALG56" s="513"/>
      <c r="ALH56" s="513"/>
      <c r="ALI56" s="513"/>
      <c r="ALJ56" s="513"/>
      <c r="ALK56" s="513"/>
      <c r="ALL56" s="513"/>
      <c r="ALM56" s="513"/>
      <c r="ALN56" s="513"/>
      <c r="ALO56" s="513"/>
      <c r="ALP56" s="513"/>
      <c r="ALQ56" s="513"/>
      <c r="ALR56" s="513"/>
      <c r="ALS56" s="513"/>
      <c r="ALT56" s="513"/>
      <c r="ALU56" s="513"/>
      <c r="ALV56" s="513"/>
      <c r="ALW56" s="513"/>
      <c r="ALX56" s="513"/>
      <c r="ALY56" s="513"/>
      <c r="ALZ56" s="513"/>
      <c r="AMA56" s="513"/>
      <c r="AMB56" s="513"/>
      <c r="AMC56" s="513"/>
      <c r="AMD56" s="513"/>
      <c r="AME56" s="513"/>
      <c r="AMF56" s="513"/>
      <c r="AMG56" s="513"/>
      <c r="AMH56" s="513"/>
      <c r="AMI56" s="513"/>
      <c r="AMJ56" s="513"/>
      <c r="AMK56" s="513"/>
    </row>
    <row r="57" spans="1:1025" ht="30" customHeight="1" thickBot="1" x14ac:dyDescent="0.3">
      <c r="A57" s="1295" t="s">
        <v>333</v>
      </c>
      <c r="B57" s="1296"/>
      <c r="C57" s="1296"/>
      <c r="D57" s="1296"/>
      <c r="E57" s="1296"/>
      <c r="F57" s="1296"/>
      <c r="G57" s="1296"/>
      <c r="H57" s="1296"/>
      <c r="I57" s="1296"/>
    </row>
    <row r="58" spans="1:1025" ht="15.75" thickTop="1" x14ac:dyDescent="0.25">
      <c r="A58" s="196"/>
      <c r="B58" s="215"/>
      <c r="C58" s="756"/>
      <c r="D58" s="215"/>
      <c r="E58" s="215"/>
      <c r="F58" s="215"/>
      <c r="G58" s="215"/>
      <c r="H58" s="215"/>
      <c r="I58" s="215"/>
    </row>
    <row r="59" spans="1:1025" ht="38.25" x14ac:dyDescent="0.25">
      <c r="A59" s="1297" t="s">
        <v>334</v>
      </c>
      <c r="B59" s="1298"/>
      <c r="C59" s="1301" t="s">
        <v>335</v>
      </c>
      <c r="D59" s="760" t="s">
        <v>336</v>
      </c>
      <c r="E59" s="216" t="s">
        <v>108</v>
      </c>
      <c r="F59" s="1301" t="s">
        <v>337</v>
      </c>
      <c r="G59" s="215"/>
      <c r="H59" s="215"/>
      <c r="I59" s="215"/>
    </row>
    <row r="60" spans="1:1025" x14ac:dyDescent="0.25">
      <c r="A60" s="1299"/>
      <c r="B60" s="1300"/>
      <c r="C60" s="1302"/>
      <c r="D60" s="214">
        <f>'POSTOS e RESUMO'!I18</f>
        <v>0.2</v>
      </c>
      <c r="E60" s="214">
        <f>H16</f>
        <v>0.35</v>
      </c>
      <c r="F60" s="1302"/>
      <c r="G60" s="215"/>
      <c r="H60" s="215"/>
      <c r="I60" s="215"/>
    </row>
    <row r="61" spans="1:1025" x14ac:dyDescent="0.25">
      <c r="A61" s="1303" t="s">
        <v>338</v>
      </c>
      <c r="B61" s="1304"/>
      <c r="C61" s="217">
        <f>'POSTOS e RESUMO'!H18</f>
        <v>551.5</v>
      </c>
      <c r="D61" s="218">
        <f>ROUND(((C61*$D$60)*-1),2)</f>
        <v>-110.3</v>
      </c>
      <c r="E61" s="218">
        <f>ROUND(((C61+D61)*$E$60),2)</f>
        <v>154.41999999999999</v>
      </c>
      <c r="F61" s="219">
        <f>C61+D61+E61</f>
        <v>595.62</v>
      </c>
      <c r="G61" s="215"/>
      <c r="H61" s="215"/>
      <c r="I61" s="215"/>
    </row>
    <row r="62" spans="1:1025" x14ac:dyDescent="0.25">
      <c r="A62" s="1305" t="s">
        <v>339</v>
      </c>
      <c r="B62" s="1306"/>
      <c r="C62" s="220">
        <f>C61-(C61*10%)</f>
        <v>496.35</v>
      </c>
      <c r="D62" s="221">
        <f>ROUND(((C62*$D$60)*-1),2)</f>
        <v>-99.27</v>
      </c>
      <c r="E62" s="221">
        <f>ROUND(((C62+D62)*$E$60),2)</f>
        <v>138.97999999999999</v>
      </c>
      <c r="F62" s="222">
        <f>C62+D62+E62</f>
        <v>536.06000000000006</v>
      </c>
      <c r="G62" s="215"/>
      <c r="H62" s="215"/>
      <c r="I62" s="215"/>
    </row>
    <row r="63" spans="1:1025" x14ac:dyDescent="0.25">
      <c r="A63" s="1303" t="s">
        <v>340</v>
      </c>
      <c r="B63" s="1304"/>
      <c r="C63" s="217">
        <f>C61-(C61*20%)</f>
        <v>441.2</v>
      </c>
      <c r="D63" s="218">
        <f>ROUND(((C63*$D$60)*-1),2)</f>
        <v>-88.24</v>
      </c>
      <c r="E63" s="218">
        <f>ROUND(((C63+D63)*$E$60),2)</f>
        <v>123.54</v>
      </c>
      <c r="F63" s="219">
        <f>C63+D63+E63</f>
        <v>476.5</v>
      </c>
      <c r="G63" s="215"/>
      <c r="H63" s="215"/>
      <c r="I63" s="215"/>
    </row>
    <row r="64" spans="1:1025" x14ac:dyDescent="0.25">
      <c r="A64" s="1305" t="s">
        <v>341</v>
      </c>
      <c r="B64" s="1306"/>
      <c r="C64" s="220">
        <v>0</v>
      </c>
      <c r="D64" s="221">
        <f>ROUND(((C64*$D$60)*-1),2)</f>
        <v>0</v>
      </c>
      <c r="E64" s="221">
        <f>ROUND(((C64+D64)*$E$60),2)</f>
        <v>0</v>
      </c>
      <c r="F64" s="222">
        <f>C64+D64+E64</f>
        <v>0</v>
      </c>
      <c r="G64" s="215"/>
      <c r="H64" s="215"/>
      <c r="I64" s="215"/>
    </row>
    <row r="65" spans="1:9" ht="30" customHeight="1" thickBot="1" x14ac:dyDescent="0.3">
      <c r="A65" s="1191" t="s">
        <v>346</v>
      </c>
      <c r="B65" s="1194"/>
      <c r="C65" s="1194"/>
      <c r="D65" s="1194"/>
      <c r="E65" s="1194"/>
      <c r="F65" s="1194"/>
      <c r="G65" s="1194"/>
      <c r="H65" s="1194"/>
      <c r="I65" s="1194"/>
    </row>
    <row r="66" spans="1:9" ht="16.5" thickTop="1" x14ac:dyDescent="0.25">
      <c r="A66" s="223"/>
      <c r="B66" s="223"/>
      <c r="C66" s="223"/>
      <c r="D66" s="223"/>
      <c r="E66" s="223"/>
      <c r="F66" s="223"/>
      <c r="G66" s="223"/>
      <c r="H66" s="223"/>
      <c r="I66" s="223"/>
    </row>
    <row r="67" spans="1:9" x14ac:dyDescent="0.25">
      <c r="A67" s="224" t="s">
        <v>364</v>
      </c>
      <c r="B67" s="193"/>
      <c r="C67" s="193"/>
      <c r="D67" s="193"/>
      <c r="E67" s="193"/>
      <c r="F67" s="193"/>
      <c r="G67" s="193"/>
      <c r="H67" s="193"/>
      <c r="I67" s="225"/>
    </row>
    <row r="68" spans="1:9" x14ac:dyDescent="0.25">
      <c r="A68" s="226" t="s">
        <v>342</v>
      </c>
      <c r="B68" s="193"/>
      <c r="C68" s="193"/>
      <c r="D68" s="193"/>
      <c r="E68" s="193"/>
      <c r="F68" s="193"/>
      <c r="G68" s="193"/>
      <c r="H68" s="193"/>
      <c r="I68" s="225"/>
    </row>
    <row r="69" spans="1:9" ht="30" customHeight="1" x14ac:dyDescent="0.25">
      <c r="A69" s="1307" t="s">
        <v>343</v>
      </c>
      <c r="B69" s="1307"/>
      <c r="C69" s="1307"/>
      <c r="D69" s="1307"/>
      <c r="E69" s="1307"/>
      <c r="F69" s="1307"/>
      <c r="G69" s="1307"/>
      <c r="H69" s="1307"/>
      <c r="I69" s="1307"/>
    </row>
    <row r="70" spans="1:9" x14ac:dyDescent="0.25">
      <c r="A70" s="1308" t="s">
        <v>365</v>
      </c>
      <c r="B70" s="1308"/>
      <c r="C70" s="1308"/>
      <c r="D70" s="1308"/>
      <c r="E70" s="227"/>
      <c r="F70" s="227"/>
      <c r="G70" s="227"/>
      <c r="H70" s="227"/>
      <c r="I70" s="225"/>
    </row>
    <row r="71" spans="1:9" x14ac:dyDescent="0.25">
      <c r="A71" s="1291" t="s">
        <v>366</v>
      </c>
      <c r="B71" s="1291"/>
      <c r="C71" s="1291"/>
      <c r="D71" s="1294"/>
      <c r="E71" s="228">
        <f>'ENCARGOS e PROVISOES'!F23</f>
        <v>39.799999999999997</v>
      </c>
      <c r="F71" s="229" t="s">
        <v>55</v>
      </c>
      <c r="G71" s="230"/>
      <c r="H71" s="230"/>
      <c r="I71" s="20"/>
    </row>
    <row r="72" spans="1:9" ht="15.95" customHeight="1" x14ac:dyDescent="0.25">
      <c r="A72" s="1291" t="s">
        <v>344</v>
      </c>
      <c r="B72" s="1291"/>
      <c r="C72" s="1291"/>
      <c r="D72" s="1291"/>
      <c r="E72" s="1291"/>
      <c r="F72" s="1291"/>
      <c r="G72" s="1291"/>
      <c r="H72" s="1291"/>
      <c r="I72" s="1291"/>
    </row>
    <row r="73" spans="1:9" x14ac:dyDescent="0.25">
      <c r="A73" s="1291" t="s">
        <v>367</v>
      </c>
      <c r="B73" s="1291"/>
      <c r="C73" s="1291"/>
      <c r="D73" s="1291"/>
      <c r="E73" s="1291"/>
      <c r="F73" s="1291"/>
      <c r="G73" s="1291"/>
      <c r="H73" s="1291"/>
      <c r="I73" s="1291"/>
    </row>
    <row r="74" spans="1:9" ht="30" customHeight="1" x14ac:dyDescent="0.25">
      <c r="A74" s="1290" t="s">
        <v>368</v>
      </c>
      <c r="B74" s="1290"/>
      <c r="C74" s="1290"/>
      <c r="D74" s="1290"/>
      <c r="E74" s="1290"/>
      <c r="F74" s="1290"/>
      <c r="G74" s="1290"/>
      <c r="H74" s="1290"/>
      <c r="I74" s="1290"/>
    </row>
    <row r="75" spans="1:9" x14ac:dyDescent="0.25">
      <c r="A75" s="1292" t="s">
        <v>369</v>
      </c>
      <c r="B75" s="1292"/>
      <c r="C75" s="1293" t="s">
        <v>345</v>
      </c>
      <c r="D75" s="1293"/>
      <c r="E75" s="1293"/>
      <c r="F75" s="1293"/>
      <c r="G75" s="1293"/>
      <c r="H75" s="1293"/>
      <c r="I75" s="1293"/>
    </row>
    <row r="76" spans="1:9" x14ac:dyDescent="0.25">
      <c r="A76" s="1292" t="s">
        <v>370</v>
      </c>
      <c r="B76" s="1292"/>
      <c r="C76" s="1293"/>
      <c r="D76" s="1293"/>
      <c r="E76" s="1293"/>
      <c r="F76" s="1293"/>
      <c r="G76" s="1293"/>
      <c r="H76" s="1293"/>
      <c r="I76" s="1293"/>
    </row>
    <row r="77" spans="1:9" x14ac:dyDescent="0.25">
      <c r="A77" s="1290" t="s">
        <v>371</v>
      </c>
      <c r="B77" s="1290"/>
      <c r="C77" s="1290"/>
      <c r="D77" s="1290"/>
      <c r="E77" s="759"/>
      <c r="F77" s="759"/>
      <c r="G77" s="759"/>
      <c r="H77" s="759"/>
      <c r="I77" s="759"/>
    </row>
  </sheetData>
  <sheetProtection algorithmName="SHA-512" hashValue="8MIRaZwMNC52jgHpjJ5AwLaIbyHYvviMmEseMOtJo3YnvjGEmEMNs33zjAcqb/7U+nfWe+rcLuqZa7//VpgBzA==" saltValue="3AEpuHCsGrN2UOyADXJdVA==" spinCount="100000" sheet="1" objects="1" scenarios="1" selectLockedCells="1"/>
  <mergeCells count="79">
    <mergeCell ref="A7:I7"/>
    <mergeCell ref="A1:I1"/>
    <mergeCell ref="A2:I2"/>
    <mergeCell ref="A3:I3"/>
    <mergeCell ref="A5:I5"/>
    <mergeCell ref="A6:I6"/>
    <mergeCell ref="A8:I8"/>
    <mergeCell ref="A14:I14"/>
    <mergeCell ref="A15:A16"/>
    <mergeCell ref="B15:B16"/>
    <mergeCell ref="C15:C16"/>
    <mergeCell ref="D15:D16"/>
    <mergeCell ref="G15:G16"/>
    <mergeCell ref="I15:I16"/>
    <mergeCell ref="D10:E10"/>
    <mergeCell ref="D11:E11"/>
    <mergeCell ref="D12:E12"/>
    <mergeCell ref="D13:E13"/>
    <mergeCell ref="A20:I20"/>
    <mergeCell ref="A21:A22"/>
    <mergeCell ref="B21:B22"/>
    <mergeCell ref="C21:C22"/>
    <mergeCell ref="D21:D22"/>
    <mergeCell ref="G21:G22"/>
    <mergeCell ref="I21:I22"/>
    <mergeCell ref="A26:I26"/>
    <mergeCell ref="A27:A28"/>
    <mergeCell ref="B27:B28"/>
    <mergeCell ref="C27:C28"/>
    <mergeCell ref="D27:D28"/>
    <mergeCell ref="G27:G28"/>
    <mergeCell ref="I27:I28"/>
    <mergeCell ref="A38:I38"/>
    <mergeCell ref="F44:F46"/>
    <mergeCell ref="A32:I32"/>
    <mergeCell ref="A33:A34"/>
    <mergeCell ref="B33:B34"/>
    <mergeCell ref="C33:C34"/>
    <mergeCell ref="D33:D34"/>
    <mergeCell ref="G33:G34"/>
    <mergeCell ref="I33:I34"/>
    <mergeCell ref="A39:E39"/>
    <mergeCell ref="G39:I39"/>
    <mergeCell ref="A71:D71"/>
    <mergeCell ref="A57:I57"/>
    <mergeCell ref="A59:B60"/>
    <mergeCell ref="C59:C60"/>
    <mergeCell ref="F59:F60"/>
    <mergeCell ref="A61:B61"/>
    <mergeCell ref="A62:B62"/>
    <mergeCell ref="A63:B63"/>
    <mergeCell ref="A64:B64"/>
    <mergeCell ref="A65:I65"/>
    <mergeCell ref="A69:I69"/>
    <mergeCell ref="A70:D70"/>
    <mergeCell ref="A77:D77"/>
    <mergeCell ref="A72:I72"/>
    <mergeCell ref="A73:I73"/>
    <mergeCell ref="A74:I74"/>
    <mergeCell ref="A75:B75"/>
    <mergeCell ref="C75:I76"/>
    <mergeCell ref="A76:B76"/>
    <mergeCell ref="J39:Q39"/>
    <mergeCell ref="A40:A43"/>
    <mergeCell ref="B40:B43"/>
    <mergeCell ref="C40:C43"/>
    <mergeCell ref="D40:D42"/>
    <mergeCell ref="E40:E43"/>
    <mergeCell ref="J48:Q48"/>
    <mergeCell ref="A49:A52"/>
    <mergeCell ref="B49:B52"/>
    <mergeCell ref="C49:C52"/>
    <mergeCell ref="D49:D52"/>
    <mergeCell ref="E49:E52"/>
    <mergeCell ref="F49:F52"/>
    <mergeCell ref="G49:G51"/>
    <mergeCell ref="H49:H52"/>
    <mergeCell ref="I49:I52"/>
    <mergeCell ref="A48:I48"/>
  </mergeCells>
  <printOptions horizontalCentered="1"/>
  <pageMargins left="0.59055118110236227" right="0.59055118110236227" top="0.39370078740157483" bottom="0.39370078740157483" header="0.11811023622047245" footer="0.11811023622047245"/>
  <pageSetup paperSize="9" scale="51" orientation="portrait" r:id="rId1"/>
  <headerFooter>
    <oddHeader>&amp;R&amp;P</oddHeader>
    <oddFooter>&amp;L&amp;9SACCON/CPC/SECAD&amp;C&amp;8Última alteração por KETLYN &amp;D&amp;R&amp;9&amp;A
Página &amp;P/&amp;N</oddFooter>
  </headerFooter>
  <rowBreaks count="1" manualBreakCount="1">
    <brk id="69"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4"/>
  <sheetViews>
    <sheetView view="pageBreakPreview" zoomScaleNormal="100" zoomScaleSheetLayoutView="100" workbookViewId="0">
      <selection activeCell="F47" sqref="F47"/>
    </sheetView>
  </sheetViews>
  <sheetFormatPr defaultRowHeight="15" x14ac:dyDescent="0.25"/>
  <cols>
    <col min="1" max="5" width="8.7109375" customWidth="1"/>
    <col min="6" max="6" width="11" customWidth="1"/>
    <col min="7" max="8" width="47.7109375" customWidth="1"/>
  </cols>
  <sheetData>
    <row r="1" spans="1:8" ht="15.75" x14ac:dyDescent="0.25">
      <c r="A1" s="1040" t="str">
        <f>'POSTOS e RESUMO'!A1:U1</f>
        <v>TRIBUNAL REGIONAL ELEITORAL DO PARANÁ</v>
      </c>
      <c r="B1" s="1040"/>
      <c r="C1" s="1040"/>
      <c r="D1" s="1040"/>
      <c r="E1" s="1040"/>
      <c r="F1" s="1040"/>
      <c r="G1" s="1040"/>
      <c r="H1" s="1040"/>
    </row>
    <row r="2" spans="1:8" x14ac:dyDescent="0.25">
      <c r="A2" s="1041" t="str">
        <f>'POSTOS e RESUMO'!A2:U2</f>
        <v>PLANILHA DE FORMAÇÃO DE CUSTOS E PREÇOS - Estimativa TRE-PR</v>
      </c>
      <c r="B2" s="1041"/>
      <c r="C2" s="1041"/>
      <c r="D2" s="1041"/>
      <c r="E2" s="1041"/>
      <c r="F2" s="1041"/>
      <c r="G2" s="1041"/>
      <c r="H2" s="1041"/>
    </row>
    <row r="3" spans="1:8" x14ac:dyDescent="0.25">
      <c r="A3" s="1041" t="str">
        <f>'POSTOS e RESUMO'!A3:U3</f>
        <v>Serviços de Limpeza, Copeiragem, Manutenção de Áreas Verdes e Limpeza em Altura - Polo 4 - Maringá e Região</v>
      </c>
      <c r="B3" s="1041"/>
      <c r="C3" s="1041"/>
      <c r="D3" s="1041"/>
      <c r="E3" s="1041"/>
      <c r="F3" s="1041"/>
      <c r="G3" s="1041"/>
      <c r="H3" s="1041"/>
    </row>
    <row r="4" spans="1:8" ht="15.75" thickBot="1" x14ac:dyDescent="0.3">
      <c r="A4" s="73"/>
      <c r="B4" s="73"/>
      <c r="C4" s="73"/>
      <c r="D4" s="73"/>
      <c r="E4" s="73"/>
      <c r="F4" s="74"/>
      <c r="G4" s="75"/>
      <c r="H4" s="75"/>
    </row>
    <row r="5" spans="1:8" x14ac:dyDescent="0.25">
      <c r="A5" s="1042" t="str">
        <f>'POSTOS e RESUMO'!A8:U8</f>
        <v>EMPRESA</v>
      </c>
      <c r="B5" s="1043"/>
      <c r="C5" s="1043"/>
      <c r="D5" s="1043"/>
      <c r="E5" s="1043"/>
      <c r="F5" s="1043"/>
      <c r="G5" s="1043"/>
      <c r="H5" s="1044"/>
    </row>
    <row r="6" spans="1:8" ht="15.75" thickBot="1" x14ac:dyDescent="0.3">
      <c r="A6" s="1045" t="str">
        <f>'POSTOS e RESUMO'!A9:U9</f>
        <v>CNPJ</v>
      </c>
      <c r="B6" s="1046"/>
      <c r="C6" s="1046"/>
      <c r="D6" s="1046"/>
      <c r="E6" s="1046"/>
      <c r="F6" s="1046"/>
      <c r="G6" s="1046"/>
      <c r="H6" s="1047"/>
    </row>
    <row r="7" spans="1:8" ht="15.75" thickBot="1" x14ac:dyDescent="0.3">
      <c r="A7" s="76"/>
      <c r="B7" s="76"/>
      <c r="C7" s="76"/>
      <c r="D7" s="76"/>
      <c r="E7" s="76"/>
      <c r="F7" s="76"/>
      <c r="G7" s="76"/>
      <c r="H7" s="732" t="s">
        <v>168</v>
      </c>
    </row>
    <row r="8" spans="1:8" ht="15.75" thickTop="1" x14ac:dyDescent="0.25">
      <c r="A8" s="1048" t="s">
        <v>50</v>
      </c>
      <c r="B8" s="1049"/>
      <c r="C8" s="1049"/>
      <c r="D8" s="1049"/>
      <c r="E8" s="1050"/>
      <c r="F8" s="77"/>
      <c r="G8" s="78" t="s">
        <v>51</v>
      </c>
      <c r="H8" s="733" t="s">
        <v>472</v>
      </c>
    </row>
    <row r="9" spans="1:8" x14ac:dyDescent="0.25">
      <c r="A9" s="1051"/>
      <c r="B9" s="1052"/>
      <c r="C9" s="1052"/>
      <c r="D9" s="1052"/>
      <c r="E9" s="1053"/>
      <c r="F9" s="77" t="s">
        <v>349</v>
      </c>
      <c r="G9" s="79" t="s">
        <v>52</v>
      </c>
      <c r="H9" s="734" t="s">
        <v>473</v>
      </c>
    </row>
    <row r="10" spans="1:8" ht="15.75" thickBot="1" x14ac:dyDescent="0.3">
      <c r="A10" s="76"/>
      <c r="B10" s="76"/>
      <c r="C10" s="76"/>
      <c r="D10" s="76"/>
      <c r="E10" s="76"/>
      <c r="F10" s="76"/>
      <c r="G10" s="76"/>
      <c r="H10" s="76"/>
    </row>
    <row r="11" spans="1:8" ht="15.75" thickBot="1" x14ac:dyDescent="0.3">
      <c r="A11" s="1054" t="s">
        <v>53</v>
      </c>
      <c r="B11" s="1055"/>
      <c r="C11" s="1055"/>
      <c r="D11" s="1055"/>
      <c r="E11" s="1055"/>
      <c r="F11" s="1055"/>
      <c r="G11" s="1055"/>
      <c r="H11" s="1056"/>
    </row>
    <row r="12" spans="1:8" x14ac:dyDescent="0.25">
      <c r="A12" s="80"/>
      <c r="B12" s="80"/>
      <c r="C12" s="80"/>
      <c r="D12" s="80"/>
      <c r="E12" s="80"/>
      <c r="F12" s="81"/>
      <c r="G12" s="75"/>
      <c r="H12" s="75"/>
    </row>
    <row r="13" spans="1:8" ht="18" thickBot="1" x14ac:dyDescent="0.35">
      <c r="A13" s="1024" t="s">
        <v>54</v>
      </c>
      <c r="B13" s="1024"/>
      <c r="C13" s="1024"/>
      <c r="D13" s="1024"/>
      <c r="E13" s="1024"/>
      <c r="F13" s="1024"/>
      <c r="G13" s="1024"/>
      <c r="H13" s="82"/>
    </row>
    <row r="14" spans="1:8" ht="15.75" thickTop="1" x14ac:dyDescent="0.25">
      <c r="A14" s="76"/>
      <c r="B14" s="76"/>
      <c r="C14" s="76"/>
      <c r="D14" s="76"/>
      <c r="E14" s="76"/>
      <c r="F14" s="83" t="s">
        <v>55</v>
      </c>
      <c r="G14" s="83" t="s">
        <v>56</v>
      </c>
      <c r="H14" s="83" t="s">
        <v>57</v>
      </c>
    </row>
    <row r="15" spans="1:8" x14ac:dyDescent="0.25">
      <c r="A15" s="1009" t="s">
        <v>58</v>
      </c>
      <c r="B15" s="1010"/>
      <c r="C15" s="1010"/>
      <c r="D15" s="1010"/>
      <c r="E15" s="1011"/>
      <c r="F15" s="754">
        <v>20</v>
      </c>
      <c r="G15" s="84" t="s">
        <v>59</v>
      </c>
      <c r="H15" s="735" t="s">
        <v>474</v>
      </c>
    </row>
    <row r="16" spans="1:8" x14ac:dyDescent="0.25">
      <c r="A16" s="1009" t="s">
        <v>60</v>
      </c>
      <c r="B16" s="1010"/>
      <c r="C16" s="1010"/>
      <c r="D16" s="1010"/>
      <c r="E16" s="1011"/>
      <c r="F16" s="754">
        <v>1.5</v>
      </c>
      <c r="G16" s="84" t="s">
        <v>61</v>
      </c>
      <c r="H16" s="735" t="s">
        <v>475</v>
      </c>
    </row>
    <row r="17" spans="1:8" x14ac:dyDescent="0.25">
      <c r="A17" s="1009" t="s">
        <v>62</v>
      </c>
      <c r="B17" s="1010"/>
      <c r="C17" s="1010"/>
      <c r="D17" s="1010"/>
      <c r="E17" s="1011"/>
      <c r="F17" s="754">
        <v>0.2</v>
      </c>
      <c r="G17" s="84" t="s">
        <v>63</v>
      </c>
      <c r="H17" s="735" t="s">
        <v>476</v>
      </c>
    </row>
    <row r="18" spans="1:8" x14ac:dyDescent="0.25">
      <c r="A18" s="1009" t="s">
        <v>64</v>
      </c>
      <c r="B18" s="1010"/>
      <c r="C18" s="1010"/>
      <c r="D18" s="1010"/>
      <c r="E18" s="1011"/>
      <c r="F18" s="754">
        <v>1</v>
      </c>
      <c r="G18" s="84" t="s">
        <v>65</v>
      </c>
      <c r="H18" s="735" t="s">
        <v>477</v>
      </c>
    </row>
    <row r="19" spans="1:8" ht="22.5" x14ac:dyDescent="0.25">
      <c r="A19" s="1009" t="s">
        <v>66</v>
      </c>
      <c r="B19" s="1010"/>
      <c r="C19" s="1010"/>
      <c r="D19" s="1010"/>
      <c r="E19" s="1011"/>
      <c r="F19" s="754">
        <v>2.5</v>
      </c>
      <c r="G19" s="84" t="s">
        <v>67</v>
      </c>
      <c r="H19" s="735" t="s">
        <v>478</v>
      </c>
    </row>
    <row r="20" spans="1:8" x14ac:dyDescent="0.25">
      <c r="A20" s="1009" t="s">
        <v>68</v>
      </c>
      <c r="B20" s="1010"/>
      <c r="C20" s="1010"/>
      <c r="D20" s="1010"/>
      <c r="E20" s="1011"/>
      <c r="F20" s="754">
        <v>0.6</v>
      </c>
      <c r="G20" s="84" t="s">
        <v>69</v>
      </c>
      <c r="H20" s="735" t="s">
        <v>479</v>
      </c>
    </row>
    <row r="21" spans="1:8" ht="67.5" x14ac:dyDescent="0.25">
      <c r="A21" s="65" t="s">
        <v>70</v>
      </c>
      <c r="B21" s="87">
        <v>3</v>
      </c>
      <c r="C21" s="65" t="s">
        <v>71</v>
      </c>
      <c r="D21" s="88">
        <v>2</v>
      </c>
      <c r="E21" s="65" t="s">
        <v>72</v>
      </c>
      <c r="F21" s="738">
        <f>B21*D21</f>
        <v>6</v>
      </c>
      <c r="G21" s="84" t="s">
        <v>73</v>
      </c>
      <c r="H21" s="86" t="s">
        <v>352</v>
      </c>
    </row>
    <row r="22" spans="1:8" ht="23.25" thickBot="1" x14ac:dyDescent="0.3">
      <c r="A22" s="1037" t="s">
        <v>74</v>
      </c>
      <c r="B22" s="1038"/>
      <c r="C22" s="1038"/>
      <c r="D22" s="1038"/>
      <c r="E22" s="1039"/>
      <c r="F22" s="754">
        <v>8</v>
      </c>
      <c r="G22" s="84" t="s">
        <v>75</v>
      </c>
      <c r="H22" s="735" t="s">
        <v>76</v>
      </c>
    </row>
    <row r="23" spans="1:8" ht="15.75" thickBot="1" x14ac:dyDescent="0.3">
      <c r="A23" s="1008" t="s">
        <v>77</v>
      </c>
      <c r="B23" s="1008"/>
      <c r="C23" s="1008"/>
      <c r="D23" s="1008"/>
      <c r="E23" s="1036"/>
      <c r="F23" s="745">
        <f>SUM(F15:F22)</f>
        <v>39.799999999999997</v>
      </c>
      <c r="G23" s="89"/>
      <c r="H23" s="90"/>
    </row>
    <row r="24" spans="1:8" x14ac:dyDescent="0.25">
      <c r="A24" s="91"/>
      <c r="B24" s="91"/>
      <c r="C24" s="91"/>
      <c r="D24" s="91"/>
      <c r="E24" s="91"/>
      <c r="F24" s="81"/>
      <c r="G24" s="90"/>
      <c r="H24" s="90"/>
    </row>
    <row r="25" spans="1:8" ht="18" thickBot="1" x14ac:dyDescent="0.35">
      <c r="A25" s="1024" t="s">
        <v>78</v>
      </c>
      <c r="B25" s="1024"/>
      <c r="C25" s="1024"/>
      <c r="D25" s="1024"/>
      <c r="E25" s="1024"/>
      <c r="F25" s="1024"/>
      <c r="G25" s="1024"/>
      <c r="H25" s="82"/>
    </row>
    <row r="26" spans="1:8" ht="15.75" thickTop="1" x14ac:dyDescent="0.25">
      <c r="A26" s="76"/>
      <c r="B26" s="76"/>
      <c r="C26" s="76"/>
      <c r="D26" s="76"/>
      <c r="E26" s="76"/>
      <c r="F26" s="83" t="s">
        <v>55</v>
      </c>
      <c r="G26" s="83" t="s">
        <v>56</v>
      </c>
      <c r="H26" s="83" t="s">
        <v>57</v>
      </c>
    </row>
    <row r="27" spans="1:8" ht="33.75" x14ac:dyDescent="0.25">
      <c r="A27" s="1009" t="s">
        <v>79</v>
      </c>
      <c r="B27" s="1010"/>
      <c r="C27" s="1010"/>
      <c r="D27" s="1010"/>
      <c r="E27" s="1011"/>
      <c r="F27" s="754">
        <f>ROUND(((1/3)/12)*100,2)</f>
        <v>2.78</v>
      </c>
      <c r="G27" s="84" t="s">
        <v>80</v>
      </c>
      <c r="H27" s="736" t="s">
        <v>480</v>
      </c>
    </row>
    <row r="28" spans="1:8" ht="33.75" x14ac:dyDescent="0.25">
      <c r="A28" s="1009" t="s">
        <v>81</v>
      </c>
      <c r="B28" s="1010"/>
      <c r="C28" s="1010"/>
      <c r="D28" s="1010"/>
      <c r="E28" s="1011"/>
      <c r="F28" s="754">
        <f>ROUND((1/12)*100,2)</f>
        <v>8.33</v>
      </c>
      <c r="G28" s="84" t="s">
        <v>82</v>
      </c>
      <c r="H28" s="736" t="s">
        <v>481</v>
      </c>
    </row>
    <row r="29" spans="1:8" x14ac:dyDescent="0.25">
      <c r="A29" s="1030" t="s">
        <v>83</v>
      </c>
      <c r="B29" s="1031"/>
      <c r="C29" s="1031"/>
      <c r="D29" s="1031"/>
      <c r="E29" s="1032"/>
      <c r="F29" s="753">
        <f>F28+F27</f>
        <v>11.11</v>
      </c>
      <c r="G29" s="92"/>
      <c r="H29" s="92"/>
    </row>
    <row r="30" spans="1:8" ht="15.75" thickBot="1" x14ac:dyDescent="0.3">
      <c r="A30" s="1033" t="s">
        <v>482</v>
      </c>
      <c r="B30" s="1034"/>
      <c r="C30" s="1034"/>
      <c r="D30" s="1034"/>
      <c r="E30" s="1035"/>
      <c r="F30" s="738">
        <f>F29%*F23</f>
        <v>4.4217799999999992</v>
      </c>
      <c r="G30" s="93" t="s">
        <v>353</v>
      </c>
      <c r="H30" s="85" t="s">
        <v>483</v>
      </c>
    </row>
    <row r="31" spans="1:8" ht="15.75" thickBot="1" x14ac:dyDescent="0.3">
      <c r="A31" s="1008" t="s">
        <v>84</v>
      </c>
      <c r="B31" s="1008"/>
      <c r="C31" s="1008"/>
      <c r="D31" s="1008"/>
      <c r="E31" s="1036"/>
      <c r="F31" s="745">
        <f>F29+F30</f>
        <v>15.531779999999998</v>
      </c>
      <c r="G31" s="94"/>
      <c r="H31" s="95"/>
    </row>
    <row r="32" spans="1:8" x14ac:dyDescent="0.25">
      <c r="A32" s="91"/>
      <c r="B32" s="91"/>
      <c r="C32" s="91"/>
      <c r="D32" s="91"/>
      <c r="E32" s="91"/>
      <c r="F32" s="81"/>
      <c r="G32" s="75"/>
      <c r="H32" s="75"/>
    </row>
    <row r="33" spans="1:8" ht="18" thickBot="1" x14ac:dyDescent="0.35">
      <c r="A33" s="728" t="s">
        <v>85</v>
      </c>
      <c r="B33" s="728"/>
      <c r="C33" s="728"/>
      <c r="D33" s="728"/>
      <c r="E33" s="728"/>
      <c r="F33" s="96"/>
      <c r="G33" s="728"/>
      <c r="H33" s="97"/>
    </row>
    <row r="34" spans="1:8" ht="15.75" thickTop="1" x14ac:dyDescent="0.25">
      <c r="A34" s="76"/>
      <c r="B34" s="76"/>
      <c r="C34" s="76"/>
      <c r="D34" s="76"/>
      <c r="E34" s="76"/>
      <c r="F34" s="83" t="s">
        <v>55</v>
      </c>
      <c r="G34" s="83" t="s">
        <v>56</v>
      </c>
      <c r="H34" s="83" t="s">
        <v>57</v>
      </c>
    </row>
    <row r="35" spans="1:8" ht="78.75" x14ac:dyDescent="0.25">
      <c r="A35" s="1021" t="s">
        <v>484</v>
      </c>
      <c r="B35" s="1022"/>
      <c r="C35" s="1022"/>
      <c r="D35" s="1022"/>
      <c r="E35" s="1023"/>
      <c r="F35" s="856">
        <f>ROUND((((1/12*5%)*100)*12)/24,4)</f>
        <v>0.20830000000000001</v>
      </c>
      <c r="G35" s="86" t="s">
        <v>86</v>
      </c>
      <c r="H35" s="737" t="s">
        <v>485</v>
      </c>
    </row>
    <row r="36" spans="1:8" ht="15" customHeight="1" x14ac:dyDescent="0.25">
      <c r="A36" s="1021" t="s">
        <v>486</v>
      </c>
      <c r="B36" s="1022"/>
      <c r="C36" s="1022"/>
      <c r="D36" s="1022"/>
      <c r="E36" s="1023"/>
      <c r="F36" s="857">
        <f>F35*8%</f>
        <v>1.6664000000000002E-2</v>
      </c>
      <c r="G36" s="86" t="s">
        <v>87</v>
      </c>
      <c r="H36" s="739" t="s">
        <v>487</v>
      </c>
    </row>
    <row r="37" spans="1:8" ht="22.5" x14ac:dyDescent="0.25">
      <c r="A37" s="1021" t="s">
        <v>89</v>
      </c>
      <c r="B37" s="1022"/>
      <c r="C37" s="1022"/>
      <c r="D37" s="1022"/>
      <c r="E37" s="1023"/>
      <c r="F37" s="857">
        <f>(5%*F22*40%)</f>
        <v>0.16000000000000003</v>
      </c>
      <c r="G37" s="740" t="s">
        <v>488</v>
      </c>
      <c r="H37" s="741" t="s">
        <v>489</v>
      </c>
    </row>
    <row r="38" spans="1:8" ht="78.75" x14ac:dyDescent="0.25">
      <c r="A38" s="1021" t="s">
        <v>490</v>
      </c>
      <c r="B38" s="1022"/>
      <c r="C38" s="1022"/>
      <c r="D38" s="1022"/>
      <c r="E38" s="1023"/>
      <c r="F38" s="856">
        <f>ROUND((((7/30/12*100)*12)+(0.194*12))/24,4)</f>
        <v>1.0691999999999999</v>
      </c>
      <c r="G38" s="86" t="s">
        <v>88</v>
      </c>
      <c r="H38" s="737" t="s">
        <v>491</v>
      </c>
    </row>
    <row r="39" spans="1:8" ht="15" customHeight="1" x14ac:dyDescent="0.25">
      <c r="A39" s="1021" t="s">
        <v>492</v>
      </c>
      <c r="B39" s="1022"/>
      <c r="C39" s="1022"/>
      <c r="D39" s="1022"/>
      <c r="E39" s="1023"/>
      <c r="F39" s="857">
        <f>$F$23*F38%</f>
        <v>0.42554159999999996</v>
      </c>
      <c r="G39" s="742" t="s">
        <v>493</v>
      </c>
      <c r="H39" s="742" t="s">
        <v>494</v>
      </c>
    </row>
    <row r="40" spans="1:8" ht="67.5" x14ac:dyDescent="0.25">
      <c r="A40" s="1009" t="s">
        <v>89</v>
      </c>
      <c r="B40" s="1010"/>
      <c r="C40" s="1010"/>
      <c r="D40" s="1010"/>
      <c r="E40" s="1011"/>
      <c r="F40" s="754">
        <v>4</v>
      </c>
      <c r="G40" s="99" t="s">
        <v>90</v>
      </c>
      <c r="H40" s="743" t="s">
        <v>495</v>
      </c>
    </row>
    <row r="41" spans="1:8" ht="15" customHeight="1" x14ac:dyDescent="0.25">
      <c r="A41" s="1026" t="s">
        <v>496</v>
      </c>
      <c r="B41" s="1027"/>
      <c r="C41" s="1027"/>
      <c r="D41" s="1027"/>
      <c r="E41" s="1028"/>
      <c r="F41" s="858">
        <f>SUM(F35:F40)</f>
        <v>5.8797055999999994</v>
      </c>
      <c r="G41" s="98"/>
      <c r="H41" s="743"/>
    </row>
    <row r="42" spans="1:8" s="26" customFormat="1" ht="23.25" thickBot="1" x14ac:dyDescent="0.25">
      <c r="A42" s="1029" t="s">
        <v>497</v>
      </c>
      <c r="B42" s="1029"/>
      <c r="C42" s="1029"/>
      <c r="D42" s="1029"/>
      <c r="E42" s="1029"/>
      <c r="F42" s="856">
        <f>ROUND(F31*F41/100,4)</f>
        <v>0.91320000000000001</v>
      </c>
      <c r="G42" s="744" t="s">
        <v>498</v>
      </c>
      <c r="H42" s="743" t="s">
        <v>499</v>
      </c>
    </row>
    <row r="43" spans="1:8" ht="15.75" thickBot="1" x14ac:dyDescent="0.3">
      <c r="A43" s="1008" t="s">
        <v>91</v>
      </c>
      <c r="B43" s="1008"/>
      <c r="C43" s="1008"/>
      <c r="D43" s="1008"/>
      <c r="E43" s="1008"/>
      <c r="F43" s="859">
        <f>SUM(F41:F42)</f>
        <v>6.7929055999999992</v>
      </c>
      <c r="G43" s="746"/>
      <c r="H43" s="90"/>
    </row>
    <row r="44" spans="1:8" x14ac:dyDescent="0.25">
      <c r="A44" s="100"/>
      <c r="B44" s="100"/>
      <c r="C44" s="100"/>
      <c r="D44" s="100"/>
      <c r="E44" s="100"/>
      <c r="F44" s="81"/>
      <c r="G44" s="75"/>
      <c r="H44" s="75"/>
    </row>
    <row r="45" spans="1:8" ht="18" thickBot="1" x14ac:dyDescent="0.35">
      <c r="A45" s="1024" t="s">
        <v>92</v>
      </c>
      <c r="B45" s="1024"/>
      <c r="C45" s="1024"/>
      <c r="D45" s="1024"/>
      <c r="E45" s="1024"/>
      <c r="F45" s="1024"/>
      <c r="G45" s="1024"/>
      <c r="H45" s="82"/>
    </row>
    <row r="46" spans="1:8" ht="15.75" thickTop="1" x14ac:dyDescent="0.25">
      <c r="A46" s="76"/>
      <c r="B46" s="76"/>
      <c r="C46" s="76"/>
      <c r="D46" s="76"/>
      <c r="E46" s="76"/>
      <c r="F46" s="83" t="s">
        <v>55</v>
      </c>
      <c r="G46" s="83" t="s">
        <v>56</v>
      </c>
      <c r="H46" s="83" t="s">
        <v>57</v>
      </c>
    </row>
    <row r="47" spans="1:8" ht="67.5" x14ac:dyDescent="0.25">
      <c r="A47" s="1009" t="s">
        <v>500</v>
      </c>
      <c r="B47" s="1010"/>
      <c r="C47" s="1010"/>
      <c r="D47" s="1010"/>
      <c r="E47" s="1011"/>
      <c r="F47" s="855">
        <f>ROUND(((1/12)*100)/2,2)</f>
        <v>4.17</v>
      </c>
      <c r="G47" s="86" t="s">
        <v>93</v>
      </c>
      <c r="H47" s="819" t="s">
        <v>548</v>
      </c>
    </row>
    <row r="48" spans="1:8" ht="45" x14ac:dyDescent="0.25">
      <c r="A48" s="1021" t="s">
        <v>501</v>
      </c>
      <c r="B48" s="1022"/>
      <c r="C48" s="1022"/>
      <c r="D48" s="1022"/>
      <c r="E48" s="1023"/>
      <c r="F48" s="855">
        <f>ROUND((1/30)/12*100,2)</f>
        <v>0.28000000000000003</v>
      </c>
      <c r="G48" s="800" t="s">
        <v>527</v>
      </c>
      <c r="H48" s="819" t="s">
        <v>526</v>
      </c>
    </row>
    <row r="49" spans="1:8" ht="123.75" x14ac:dyDescent="0.25">
      <c r="A49" s="1009" t="s">
        <v>94</v>
      </c>
      <c r="B49" s="1010"/>
      <c r="C49" s="1010"/>
      <c r="D49" s="1010"/>
      <c r="E49" s="1011"/>
      <c r="F49" s="855">
        <f>ROUND((((1+1/3)/12)*100)*0.02*(4/12),2)</f>
        <v>7.0000000000000007E-2</v>
      </c>
      <c r="G49" s="85" t="s">
        <v>552</v>
      </c>
      <c r="H49" s="819" t="s">
        <v>551</v>
      </c>
    </row>
    <row r="50" spans="1:8" ht="112.5" x14ac:dyDescent="0.25">
      <c r="A50" s="1009" t="s">
        <v>96</v>
      </c>
      <c r="B50" s="1010"/>
      <c r="C50" s="1010"/>
      <c r="D50" s="1010"/>
      <c r="E50" s="1011"/>
      <c r="F50" s="855">
        <v>0</v>
      </c>
      <c r="G50" s="747" t="s">
        <v>97</v>
      </c>
      <c r="H50" s="819" t="s">
        <v>553</v>
      </c>
    </row>
    <row r="51" spans="1:8" ht="45" x14ac:dyDescent="0.25">
      <c r="A51" s="1018" t="s">
        <v>545</v>
      </c>
      <c r="B51" s="1019"/>
      <c r="C51" s="1019"/>
      <c r="D51" s="1019"/>
      <c r="E51" s="1020"/>
      <c r="F51" s="855">
        <f>ROUND((4.96/30)/12*100,2)</f>
        <v>1.38</v>
      </c>
      <c r="G51" s="820" t="s">
        <v>546</v>
      </c>
      <c r="H51" s="819" t="s">
        <v>547</v>
      </c>
    </row>
    <row r="52" spans="1:8" ht="90" x14ac:dyDescent="0.25">
      <c r="A52" s="1009" t="s">
        <v>98</v>
      </c>
      <c r="B52" s="1010"/>
      <c r="C52" s="1010"/>
      <c r="D52" s="1010"/>
      <c r="E52" s="1011"/>
      <c r="F52" s="855">
        <f>ROUND((((15/30)/12)*0.0078)*100,2)</f>
        <v>0.03</v>
      </c>
      <c r="G52" s="84" t="s">
        <v>99</v>
      </c>
      <c r="H52" s="819" t="s">
        <v>502</v>
      </c>
    </row>
    <row r="53" spans="1:8" x14ac:dyDescent="0.25">
      <c r="A53" s="1012" t="s">
        <v>100</v>
      </c>
      <c r="B53" s="1013"/>
      <c r="C53" s="1013"/>
      <c r="D53" s="1013"/>
      <c r="E53" s="1014"/>
      <c r="F53" s="738">
        <f>SUM(F47:F52)</f>
        <v>5.9300000000000006</v>
      </c>
      <c r="G53" s="101"/>
      <c r="H53" s="101"/>
    </row>
    <row r="54" spans="1:8" s="26" customFormat="1" ht="26.25" customHeight="1" x14ac:dyDescent="0.2">
      <c r="A54" s="1015" t="s">
        <v>503</v>
      </c>
      <c r="B54" s="1016"/>
      <c r="C54" s="1016"/>
      <c r="D54" s="1016"/>
      <c r="E54" s="1017"/>
      <c r="F54" s="748">
        <f>F53%*$F$23</f>
        <v>2.3601399999999999</v>
      </c>
      <c r="G54" s="749" t="s">
        <v>504</v>
      </c>
      <c r="H54" s="750" t="s">
        <v>505</v>
      </c>
    </row>
    <row r="55" spans="1:8" s="26" customFormat="1" ht="34.5" thickBot="1" x14ac:dyDescent="0.25">
      <c r="A55" s="1025" t="s">
        <v>506</v>
      </c>
      <c r="B55" s="1025"/>
      <c r="C55" s="1025"/>
      <c r="D55" s="1025"/>
      <c r="E55" s="1025"/>
      <c r="F55" s="748">
        <f>ROUND((F31+F43)*F53/100,2)</f>
        <v>1.32</v>
      </c>
      <c r="G55" s="751" t="s">
        <v>507</v>
      </c>
      <c r="H55" s="751" t="s">
        <v>508</v>
      </c>
    </row>
    <row r="56" spans="1:8" ht="15.75" thickBot="1" x14ac:dyDescent="0.3">
      <c r="A56" s="1008" t="s">
        <v>101</v>
      </c>
      <c r="B56" s="1008"/>
      <c r="C56" s="1008"/>
      <c r="D56" s="1008"/>
      <c r="E56" s="1008"/>
      <c r="F56" s="752">
        <f>SUM(F53:F55)</f>
        <v>9.6101400000000012</v>
      </c>
      <c r="G56" s="746"/>
      <c r="H56" s="90"/>
    </row>
    <row r="57" spans="1:8" ht="15.75" thickBot="1" x14ac:dyDescent="0.3">
      <c r="A57" s="100"/>
      <c r="B57" s="100"/>
      <c r="C57" s="100"/>
      <c r="D57" s="100"/>
      <c r="E57" s="100"/>
      <c r="F57" s="81"/>
      <c r="G57" s="75"/>
      <c r="H57" s="75"/>
    </row>
    <row r="58" spans="1:8" ht="15.75" thickBot="1" x14ac:dyDescent="0.3">
      <c r="A58" s="1001" t="s">
        <v>102</v>
      </c>
      <c r="B58" s="1002"/>
      <c r="C58" s="1002"/>
      <c r="D58" s="1002"/>
      <c r="E58" s="1002"/>
      <c r="F58" s="1002"/>
      <c r="G58" s="1002"/>
      <c r="H58" s="1003"/>
    </row>
    <row r="59" spans="1:8" x14ac:dyDescent="0.25">
      <c r="A59" s="76"/>
      <c r="B59" s="76"/>
      <c r="C59" s="76"/>
      <c r="D59" s="76"/>
      <c r="E59" s="76"/>
      <c r="F59" s="74"/>
      <c r="G59" s="103"/>
      <c r="H59" s="103"/>
    </row>
    <row r="60" spans="1:8" ht="15.75" thickBot="1" x14ac:dyDescent="0.3">
      <c r="A60" s="1007" t="s">
        <v>103</v>
      </c>
      <c r="B60" s="1007"/>
      <c r="C60" s="1007"/>
      <c r="D60" s="1007"/>
      <c r="E60" s="1007"/>
      <c r="F60" s="862">
        <f>F23</f>
        <v>39.799999999999997</v>
      </c>
      <c r="G60" s="76"/>
      <c r="H60" s="76"/>
    </row>
    <row r="61" spans="1:8" ht="15.75" thickBot="1" x14ac:dyDescent="0.3">
      <c r="A61" s="1004" t="s">
        <v>104</v>
      </c>
      <c r="B61" s="1004"/>
      <c r="C61" s="1004"/>
      <c r="D61" s="1004"/>
      <c r="E61" s="1004"/>
      <c r="F61" s="860">
        <f>F31</f>
        <v>15.531779999999998</v>
      </c>
      <c r="G61" s="76"/>
      <c r="H61" s="76"/>
    </row>
    <row r="62" spans="1:8" ht="15.75" thickBot="1" x14ac:dyDescent="0.3">
      <c r="A62" s="1004" t="s">
        <v>105</v>
      </c>
      <c r="B62" s="1004"/>
      <c r="C62" s="1004"/>
      <c r="D62" s="1004"/>
      <c r="E62" s="1004"/>
      <c r="F62" s="860">
        <f>F43</f>
        <v>6.7929055999999992</v>
      </c>
      <c r="G62" s="76"/>
      <c r="H62" s="76"/>
    </row>
    <row r="63" spans="1:8" ht="15.75" thickBot="1" x14ac:dyDescent="0.3">
      <c r="A63" s="1004" t="s">
        <v>106</v>
      </c>
      <c r="B63" s="1004"/>
      <c r="C63" s="1004"/>
      <c r="D63" s="1004"/>
      <c r="E63" s="1004"/>
      <c r="F63" s="860">
        <f>F56</f>
        <v>9.6101400000000012</v>
      </c>
      <c r="G63" s="76"/>
      <c r="H63" s="76"/>
    </row>
    <row r="64" spans="1:8" ht="15.75" thickBot="1" x14ac:dyDescent="0.3">
      <c r="A64" s="1005" t="s">
        <v>107</v>
      </c>
      <c r="B64" s="1005"/>
      <c r="C64" s="1005"/>
      <c r="D64" s="1005"/>
      <c r="E64" s="1006"/>
      <c r="F64" s="861">
        <f>ROUND(SUM(F60:F63),2)</f>
        <v>71.73</v>
      </c>
      <c r="G64" s="89" t="s">
        <v>55</v>
      </c>
      <c r="H64" s="90"/>
    </row>
  </sheetData>
  <sheetProtection algorithmName="SHA-512" hashValue="eid6n1VdJIK3bdUa/C6ie7YHK5N79N/DYPBWsz5YWGVbpfnc1HJ6gNMuZkSv1AZUIcdOGO4PQfzCFGKAU8IPKw==" saltValue="ayd/VYdwYrJr7C6ls9AyaQ==" spinCount="100000" sheet="1" objects="1" scenarios="1" selectLockedCells="1"/>
  <mergeCells count="48">
    <mergeCell ref="A18:E18"/>
    <mergeCell ref="A1:H1"/>
    <mergeCell ref="A2:H2"/>
    <mergeCell ref="A3:H3"/>
    <mergeCell ref="A5:H5"/>
    <mergeCell ref="A6:H6"/>
    <mergeCell ref="A8:E9"/>
    <mergeCell ref="A11:H11"/>
    <mergeCell ref="A13:G13"/>
    <mergeCell ref="A15:E15"/>
    <mergeCell ref="A16:E16"/>
    <mergeCell ref="A17:E17"/>
    <mergeCell ref="A19:E19"/>
    <mergeCell ref="A20:E20"/>
    <mergeCell ref="A22:E22"/>
    <mergeCell ref="A23:E23"/>
    <mergeCell ref="A25:G25"/>
    <mergeCell ref="A27:E27"/>
    <mergeCell ref="A28:E28"/>
    <mergeCell ref="A29:E29"/>
    <mergeCell ref="A30:E30"/>
    <mergeCell ref="A31:E31"/>
    <mergeCell ref="A35:E35"/>
    <mergeCell ref="A40:E40"/>
    <mergeCell ref="A41:E41"/>
    <mergeCell ref="A42:E42"/>
    <mergeCell ref="A47:E47"/>
    <mergeCell ref="A37:E37"/>
    <mergeCell ref="A38:E38"/>
    <mergeCell ref="A39:E39"/>
    <mergeCell ref="A36:E36"/>
    <mergeCell ref="A48:E48"/>
    <mergeCell ref="A49:E49"/>
    <mergeCell ref="A43:E43"/>
    <mergeCell ref="A45:G45"/>
    <mergeCell ref="A55:E55"/>
    <mergeCell ref="A56:E56"/>
    <mergeCell ref="A52:E52"/>
    <mergeCell ref="A53:E53"/>
    <mergeCell ref="A54:E54"/>
    <mergeCell ref="A50:E50"/>
    <mergeCell ref="A51:E51"/>
    <mergeCell ref="A58:H58"/>
    <mergeCell ref="A63:E63"/>
    <mergeCell ref="A64:E64"/>
    <mergeCell ref="A60:E60"/>
    <mergeCell ref="A61:E61"/>
    <mergeCell ref="A62:E62"/>
  </mergeCells>
  <conditionalFormatting sqref="G8">
    <cfRule type="expression" dxfId="3" priority="1">
      <formula>$F$8&lt;&gt;""</formula>
    </cfRule>
  </conditionalFormatting>
  <conditionalFormatting sqref="G9">
    <cfRule type="expression" dxfId="2" priority="2">
      <formula>$F$9&lt;&gt;""</formula>
    </cfRule>
  </conditionalFormatting>
  <printOptions horizontalCentered="1"/>
  <pageMargins left="0.39370078740157483" right="0.39370078740157483" top="0.78740157480314965" bottom="0.78740157480314965" header="0.31496062992125984" footer="0.31496062992125984"/>
  <pageSetup paperSize="9" scale="63" fitToHeight="5" orientation="portrait" r:id="rId1"/>
  <headerFooter>
    <oddHeader>&amp;R&amp;P</oddHeader>
    <oddFooter>&amp;L&amp;9SACCON/CPC/SECAD&amp;C&amp;8Última alteração por KETLYN &amp;D&amp;R&amp;9&amp;A
Página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4"/>
  <sheetViews>
    <sheetView showGridLines="0" view="pageBreakPreview" zoomScaleNormal="100" zoomScaleSheetLayoutView="100" workbookViewId="0">
      <selection activeCell="H51" sqref="H51"/>
    </sheetView>
  </sheetViews>
  <sheetFormatPr defaultRowHeight="15" x14ac:dyDescent="0.25"/>
  <cols>
    <col min="1" max="5" width="8.7109375" customWidth="1"/>
    <col min="6" max="6" width="11" customWidth="1"/>
    <col min="7" max="8" width="47.7109375" customWidth="1"/>
  </cols>
  <sheetData>
    <row r="1" spans="1:8" ht="15.75" x14ac:dyDescent="0.25">
      <c r="A1" s="1040" t="str">
        <f>'POSTOS e RESUMO'!A1:U1</f>
        <v>TRIBUNAL REGIONAL ELEITORAL DO PARANÁ</v>
      </c>
      <c r="B1" s="1040"/>
      <c r="C1" s="1040"/>
      <c r="D1" s="1040"/>
      <c r="E1" s="1040"/>
      <c r="F1" s="1040"/>
      <c r="G1" s="1040"/>
      <c r="H1" s="1040"/>
    </row>
    <row r="2" spans="1:8" x14ac:dyDescent="0.25">
      <c r="A2" s="1041" t="str">
        <f>'POSTOS e RESUMO'!A2:U2</f>
        <v>PLANILHA DE FORMAÇÃO DE CUSTOS E PREÇOS - Estimativa TRE-PR</v>
      </c>
      <c r="B2" s="1041"/>
      <c r="C2" s="1041"/>
      <c r="D2" s="1041"/>
      <c r="E2" s="1041"/>
      <c r="F2" s="1041"/>
      <c r="G2" s="1041"/>
      <c r="H2" s="1041"/>
    </row>
    <row r="3" spans="1:8" x14ac:dyDescent="0.25">
      <c r="A3" s="1041" t="str">
        <f>'POSTOS e RESUMO'!A3:U3</f>
        <v>Serviços de Limpeza, Copeiragem, Manutenção de Áreas Verdes e Limpeza em Altura - Polo 4 - Maringá e Região</v>
      </c>
      <c r="B3" s="1041"/>
      <c r="C3" s="1041"/>
      <c r="D3" s="1041"/>
      <c r="E3" s="1041"/>
      <c r="F3" s="1041"/>
      <c r="G3" s="1041"/>
      <c r="H3" s="1041"/>
    </row>
    <row r="4" spans="1:8" ht="15.75" thickBot="1" x14ac:dyDescent="0.3">
      <c r="A4" s="73"/>
      <c r="B4" s="73"/>
      <c r="C4" s="73"/>
      <c r="D4" s="73"/>
      <c r="E4" s="73"/>
      <c r="F4" s="74"/>
      <c r="G4" s="75"/>
      <c r="H4" s="75"/>
    </row>
    <row r="5" spans="1:8" x14ac:dyDescent="0.25">
      <c r="A5" s="1042" t="str">
        <f>'POSTOS e RESUMO'!A8:U8</f>
        <v>EMPRESA</v>
      </c>
      <c r="B5" s="1043"/>
      <c r="C5" s="1043"/>
      <c r="D5" s="1043"/>
      <c r="E5" s="1043"/>
      <c r="F5" s="1043"/>
      <c r="G5" s="1043"/>
      <c r="H5" s="1044"/>
    </row>
    <row r="6" spans="1:8" ht="15.75" thickBot="1" x14ac:dyDescent="0.3">
      <c r="A6" s="1045" t="str">
        <f>'POSTOS e RESUMO'!A9:U9</f>
        <v>CNPJ</v>
      </c>
      <c r="B6" s="1046"/>
      <c r="C6" s="1046"/>
      <c r="D6" s="1046"/>
      <c r="E6" s="1046"/>
      <c r="F6" s="1046"/>
      <c r="G6" s="1046"/>
      <c r="H6" s="1047"/>
    </row>
    <row r="7" spans="1:8" ht="15.75" thickBot="1" x14ac:dyDescent="0.3">
      <c r="A7" s="76"/>
      <c r="B7" s="76"/>
      <c r="C7" s="76"/>
      <c r="D7" s="76"/>
      <c r="E7" s="76"/>
      <c r="F7" s="76"/>
      <c r="G7" s="76"/>
      <c r="H7" s="732" t="s">
        <v>168</v>
      </c>
    </row>
    <row r="8" spans="1:8" ht="15.75" thickTop="1" x14ac:dyDescent="0.25">
      <c r="A8" s="1057" t="s">
        <v>549</v>
      </c>
      <c r="B8" s="1058"/>
      <c r="C8" s="1058"/>
      <c r="D8" s="1058"/>
      <c r="E8" s="1058"/>
      <c r="F8" s="1059"/>
      <c r="G8" s="78"/>
      <c r="H8" s="733" t="s">
        <v>472</v>
      </c>
    </row>
    <row r="9" spans="1:8" x14ac:dyDescent="0.25">
      <c r="A9" s="840"/>
      <c r="B9" s="840"/>
      <c r="C9" s="840"/>
      <c r="D9" s="840"/>
      <c r="E9" s="840"/>
      <c r="F9" s="839"/>
      <c r="G9" s="79"/>
      <c r="H9" s="734" t="s">
        <v>473</v>
      </c>
    </row>
    <row r="10" spans="1:8" ht="15.75" thickBot="1" x14ac:dyDescent="0.3">
      <c r="A10" s="76"/>
      <c r="B10" s="76"/>
      <c r="C10" s="76"/>
      <c r="D10" s="76"/>
      <c r="E10" s="76"/>
      <c r="F10" s="76"/>
      <c r="G10" s="76"/>
      <c r="H10" s="76"/>
    </row>
    <row r="11" spans="1:8" ht="15.75" thickBot="1" x14ac:dyDescent="0.3">
      <c r="A11" s="1065" t="s">
        <v>524</v>
      </c>
      <c r="B11" s="1066"/>
      <c r="C11" s="1066"/>
      <c r="D11" s="1066"/>
      <c r="E11" s="1066"/>
      <c r="F11" s="1066"/>
      <c r="G11" s="1066"/>
      <c r="H11" s="1067"/>
    </row>
    <row r="12" spans="1:8" x14ac:dyDescent="0.25">
      <c r="A12" s="80"/>
      <c r="B12" s="80"/>
      <c r="C12" s="80"/>
      <c r="D12" s="80"/>
      <c r="E12" s="80"/>
      <c r="F12" s="81"/>
      <c r="G12" s="75"/>
      <c r="H12" s="75"/>
    </row>
    <row r="13" spans="1:8" ht="18" thickBot="1" x14ac:dyDescent="0.35">
      <c r="A13" s="1068" t="s">
        <v>54</v>
      </c>
      <c r="B13" s="1068"/>
      <c r="C13" s="1068"/>
      <c r="D13" s="1068"/>
      <c r="E13" s="1068"/>
      <c r="F13" s="1068"/>
      <c r="G13" s="1068"/>
      <c r="H13" s="841"/>
    </row>
    <row r="14" spans="1:8" ht="15.75" thickTop="1" x14ac:dyDescent="0.25">
      <c r="A14" s="842"/>
      <c r="B14" s="842"/>
      <c r="C14" s="842"/>
      <c r="D14" s="842"/>
      <c r="E14" s="842"/>
      <c r="F14" s="843" t="s">
        <v>55</v>
      </c>
      <c r="G14" s="843" t="s">
        <v>56</v>
      </c>
      <c r="H14" s="843" t="s">
        <v>57</v>
      </c>
    </row>
    <row r="15" spans="1:8" x14ac:dyDescent="0.25">
      <c r="A15" s="1069" t="s">
        <v>58</v>
      </c>
      <c r="B15" s="1070"/>
      <c r="C15" s="1070"/>
      <c r="D15" s="1070"/>
      <c r="E15" s="1071"/>
      <c r="F15" s="844">
        <f>'ENCARGOS e PROVISOES'!F15</f>
        <v>20</v>
      </c>
      <c r="G15" s="845" t="s">
        <v>59</v>
      </c>
      <c r="H15" s="846" t="str">
        <f>'ENCARGOS e PROVISOES'!H15</f>
        <v>Estimativa máxima: 20% sobre a remuneração.</v>
      </c>
    </row>
    <row r="16" spans="1:8" x14ac:dyDescent="0.25">
      <c r="A16" s="1069" t="s">
        <v>60</v>
      </c>
      <c r="B16" s="1070"/>
      <c r="C16" s="1070"/>
      <c r="D16" s="1070"/>
      <c r="E16" s="1071"/>
      <c r="F16" s="844">
        <f>'ENCARGOS e PROVISOES'!F16</f>
        <v>1.5</v>
      </c>
      <c r="G16" s="845" t="s">
        <v>61</v>
      </c>
      <c r="H16" s="846" t="str">
        <f>'ENCARGOS e PROVISOES'!H16</f>
        <v>Estimativa máxima: 1,5% sobre a remuneração.</v>
      </c>
    </row>
    <row r="17" spans="1:8" x14ac:dyDescent="0.25">
      <c r="A17" s="1069" t="s">
        <v>62</v>
      </c>
      <c r="B17" s="1070"/>
      <c r="C17" s="1070"/>
      <c r="D17" s="1070"/>
      <c r="E17" s="1071"/>
      <c r="F17" s="844">
        <f>'ENCARGOS e PROVISOES'!F17</f>
        <v>0.2</v>
      </c>
      <c r="G17" s="845" t="s">
        <v>63</v>
      </c>
      <c r="H17" s="846" t="str">
        <f>'ENCARGOS e PROVISOES'!H17</f>
        <v>Estimativa máxima: 0,2% sobre a remuneração.</v>
      </c>
    </row>
    <row r="18" spans="1:8" x14ac:dyDescent="0.25">
      <c r="A18" s="1069" t="s">
        <v>64</v>
      </c>
      <c r="B18" s="1070"/>
      <c r="C18" s="1070"/>
      <c r="D18" s="1070"/>
      <c r="E18" s="1071"/>
      <c r="F18" s="844">
        <f>'ENCARGOS e PROVISOES'!F18</f>
        <v>1</v>
      </c>
      <c r="G18" s="845" t="s">
        <v>65</v>
      </c>
      <c r="H18" s="846" t="str">
        <f>'ENCARGOS e PROVISOES'!H18</f>
        <v>Estimativa máxima: 1% sobre a remuneração</v>
      </c>
    </row>
    <row r="19" spans="1:8" ht="22.5" x14ac:dyDescent="0.25">
      <c r="A19" s="1069" t="s">
        <v>66</v>
      </c>
      <c r="B19" s="1070"/>
      <c r="C19" s="1070"/>
      <c r="D19" s="1070"/>
      <c r="E19" s="1071"/>
      <c r="F19" s="844">
        <f>'ENCARGOS e PROVISOES'!F19</f>
        <v>2.5</v>
      </c>
      <c r="G19" s="845" t="s">
        <v>67</v>
      </c>
      <c r="H19" s="846" t="str">
        <f>'ENCARGOS e PROVISOES'!H19</f>
        <v>Estimativa máxima: 2,5% sobre a remuneração.</v>
      </c>
    </row>
    <row r="20" spans="1:8" x14ac:dyDescent="0.25">
      <c r="A20" s="1069" t="s">
        <v>68</v>
      </c>
      <c r="B20" s="1070"/>
      <c r="C20" s="1070"/>
      <c r="D20" s="1070"/>
      <c r="E20" s="1071"/>
      <c r="F20" s="844">
        <f>'ENCARGOS e PROVISOES'!F20</f>
        <v>0.6</v>
      </c>
      <c r="G20" s="845" t="s">
        <v>69</v>
      </c>
      <c r="H20" s="846" t="str">
        <f>'ENCARGOS e PROVISOES'!H20</f>
        <v>Estimativa máxima: 0,6% sobre a remuneração.</v>
      </c>
    </row>
    <row r="21" spans="1:8" ht="67.5" x14ac:dyDescent="0.25">
      <c r="A21" s="847" t="s">
        <v>70</v>
      </c>
      <c r="B21" s="848">
        <f>'ENCARGOS e PROVISOES'!B21</f>
        <v>3</v>
      </c>
      <c r="C21" s="849" t="s">
        <v>71</v>
      </c>
      <c r="D21" s="850">
        <f>'ENCARGOS e PROVISOES'!D21</f>
        <v>2</v>
      </c>
      <c r="E21" s="847" t="s">
        <v>72</v>
      </c>
      <c r="F21" s="844">
        <f>B21*D21</f>
        <v>6</v>
      </c>
      <c r="G21" s="845" t="s">
        <v>73</v>
      </c>
      <c r="H21" s="851" t="s">
        <v>550</v>
      </c>
    </row>
    <row r="22" spans="1:8" ht="23.25" thickBot="1" x14ac:dyDescent="0.3">
      <c r="A22" s="1060" t="s">
        <v>74</v>
      </c>
      <c r="B22" s="1061"/>
      <c r="C22" s="1061"/>
      <c r="D22" s="1061"/>
      <c r="E22" s="1062"/>
      <c r="F22" s="844">
        <f>'ENCARGOS e PROVISOES'!F22</f>
        <v>8</v>
      </c>
      <c r="G22" s="845" t="s">
        <v>75</v>
      </c>
      <c r="H22" s="846" t="str">
        <f>'ENCARGOS e PROVISOES'!H22</f>
        <v>8% sobre a remuneração.</v>
      </c>
    </row>
    <row r="23" spans="1:8" ht="15.75" thickBot="1" x14ac:dyDescent="0.3">
      <c r="A23" s="1063" t="s">
        <v>77</v>
      </c>
      <c r="B23" s="1063"/>
      <c r="C23" s="1063"/>
      <c r="D23" s="1063"/>
      <c r="E23" s="1064"/>
      <c r="F23" s="852">
        <f>SUM(F15:F22)</f>
        <v>39.799999999999997</v>
      </c>
      <c r="G23" s="853"/>
      <c r="H23" s="854"/>
    </row>
    <row r="24" spans="1:8" x14ac:dyDescent="0.25">
      <c r="A24" s="91"/>
      <c r="B24" s="91"/>
      <c r="C24" s="91"/>
      <c r="D24" s="91"/>
      <c r="E24" s="91"/>
      <c r="F24" s="81"/>
      <c r="G24" s="90"/>
      <c r="H24" s="90"/>
    </row>
    <row r="25" spans="1:8" ht="18" thickBot="1" x14ac:dyDescent="0.35">
      <c r="A25" s="1024" t="s">
        <v>78</v>
      </c>
      <c r="B25" s="1024"/>
      <c r="C25" s="1024"/>
      <c r="D25" s="1024"/>
      <c r="E25" s="1024"/>
      <c r="F25" s="1024"/>
      <c r="G25" s="1024"/>
      <c r="H25" s="82"/>
    </row>
    <row r="26" spans="1:8" ht="15.75" thickTop="1" x14ac:dyDescent="0.25">
      <c r="A26" s="76"/>
      <c r="B26" s="76"/>
      <c r="C26" s="76"/>
      <c r="D26" s="76"/>
      <c r="E26" s="76"/>
      <c r="F26" s="83" t="s">
        <v>55</v>
      </c>
      <c r="G26" s="83" t="s">
        <v>56</v>
      </c>
      <c r="H26" s="83" t="s">
        <v>57</v>
      </c>
    </row>
    <row r="27" spans="1:8" ht="33.75" x14ac:dyDescent="0.25">
      <c r="A27" s="1009" t="s">
        <v>79</v>
      </c>
      <c r="B27" s="1010"/>
      <c r="C27" s="1010"/>
      <c r="D27" s="1010"/>
      <c r="E27" s="1011"/>
      <c r="F27" s="754">
        <f>ROUND(((1/3)/12)*100,2)</f>
        <v>2.78</v>
      </c>
      <c r="G27" s="84" t="s">
        <v>80</v>
      </c>
      <c r="H27" s="801" t="s">
        <v>480</v>
      </c>
    </row>
    <row r="28" spans="1:8" ht="33.75" x14ac:dyDescent="0.25">
      <c r="A28" s="1009" t="s">
        <v>81</v>
      </c>
      <c r="B28" s="1010"/>
      <c r="C28" s="1010"/>
      <c r="D28" s="1010"/>
      <c r="E28" s="1011"/>
      <c r="F28" s="754">
        <f>ROUND((1/12)*100,2)</f>
        <v>8.33</v>
      </c>
      <c r="G28" s="84" t="s">
        <v>82</v>
      </c>
      <c r="H28" s="801" t="s">
        <v>481</v>
      </c>
    </row>
    <row r="29" spans="1:8" x14ac:dyDescent="0.25">
      <c r="A29" s="1030" t="s">
        <v>83</v>
      </c>
      <c r="B29" s="1031"/>
      <c r="C29" s="1031"/>
      <c r="D29" s="1031"/>
      <c r="E29" s="1032"/>
      <c r="F29" s="753">
        <f>F28+F27</f>
        <v>11.11</v>
      </c>
      <c r="G29" s="92"/>
      <c r="H29" s="92"/>
    </row>
    <row r="30" spans="1:8" ht="15.75" thickBot="1" x14ac:dyDescent="0.3">
      <c r="A30" s="1033" t="s">
        <v>482</v>
      </c>
      <c r="B30" s="1034"/>
      <c r="C30" s="1034"/>
      <c r="D30" s="1034"/>
      <c r="E30" s="1035"/>
      <c r="F30" s="738">
        <f>F29%*F23</f>
        <v>4.4217799999999992</v>
      </c>
      <c r="G30" s="93" t="s">
        <v>353</v>
      </c>
      <c r="H30" s="85" t="s">
        <v>483</v>
      </c>
    </row>
    <row r="31" spans="1:8" ht="15.75" thickBot="1" x14ac:dyDescent="0.3">
      <c r="A31" s="1008" t="s">
        <v>84</v>
      </c>
      <c r="B31" s="1008"/>
      <c r="C31" s="1008"/>
      <c r="D31" s="1008"/>
      <c r="E31" s="1036"/>
      <c r="F31" s="745">
        <f>F29+F30</f>
        <v>15.531779999999998</v>
      </c>
      <c r="G31" s="94"/>
      <c r="H31" s="95"/>
    </row>
    <row r="32" spans="1:8" x14ac:dyDescent="0.25">
      <c r="A32" s="91"/>
      <c r="B32" s="91"/>
      <c r="C32" s="91"/>
      <c r="D32" s="91"/>
      <c r="E32" s="91"/>
      <c r="F32" s="81"/>
      <c r="G32" s="75"/>
      <c r="H32" s="75"/>
    </row>
    <row r="33" spans="1:8" ht="18" thickBot="1" x14ac:dyDescent="0.35">
      <c r="A33" s="778" t="s">
        <v>85</v>
      </c>
      <c r="B33" s="778"/>
      <c r="C33" s="778"/>
      <c r="D33" s="778"/>
      <c r="E33" s="778"/>
      <c r="F33" s="96"/>
      <c r="G33" s="778"/>
      <c r="H33" s="97"/>
    </row>
    <row r="34" spans="1:8" ht="15.75" thickTop="1" x14ac:dyDescent="0.25">
      <c r="A34" s="76"/>
      <c r="B34" s="76"/>
      <c r="C34" s="76"/>
      <c r="D34" s="76"/>
      <c r="E34" s="76"/>
      <c r="F34" s="83" t="s">
        <v>55</v>
      </c>
      <c r="G34" s="83" t="s">
        <v>56</v>
      </c>
      <c r="H34" s="83" t="s">
        <v>57</v>
      </c>
    </row>
    <row r="35" spans="1:8" ht="67.5" x14ac:dyDescent="0.25">
      <c r="A35" s="1021" t="s">
        <v>484</v>
      </c>
      <c r="B35" s="1022"/>
      <c r="C35" s="1022"/>
      <c r="D35" s="1022"/>
      <c r="E35" s="1023"/>
      <c r="F35" s="754">
        <v>0</v>
      </c>
      <c r="G35" s="86" t="s">
        <v>86</v>
      </c>
      <c r="H35" s="801" t="s">
        <v>522</v>
      </c>
    </row>
    <row r="36" spans="1:8" ht="15" customHeight="1" x14ac:dyDescent="0.25">
      <c r="A36" s="1021" t="s">
        <v>486</v>
      </c>
      <c r="B36" s="1022"/>
      <c r="C36" s="1022"/>
      <c r="D36" s="1022"/>
      <c r="E36" s="1023"/>
      <c r="F36" s="738">
        <f>F35*8%</f>
        <v>0</v>
      </c>
      <c r="G36" s="86" t="s">
        <v>87</v>
      </c>
      <c r="H36" s="739" t="s">
        <v>487</v>
      </c>
    </row>
    <row r="37" spans="1:8" ht="22.5" x14ac:dyDescent="0.25">
      <c r="A37" s="1021" t="s">
        <v>89</v>
      </c>
      <c r="B37" s="1022"/>
      <c r="C37" s="1022"/>
      <c r="D37" s="1022"/>
      <c r="E37" s="1023"/>
      <c r="F37" s="738">
        <f>IF(F38=0,0,(5%*F22*40%))</f>
        <v>0</v>
      </c>
      <c r="G37" s="740" t="s">
        <v>488</v>
      </c>
      <c r="H37" s="741" t="s">
        <v>489</v>
      </c>
    </row>
    <row r="38" spans="1:8" ht="45" x14ac:dyDescent="0.25">
      <c r="A38" s="1021" t="s">
        <v>490</v>
      </c>
      <c r="B38" s="1022"/>
      <c r="C38" s="1022"/>
      <c r="D38" s="1022"/>
      <c r="E38" s="1023"/>
      <c r="F38" s="754">
        <v>0</v>
      </c>
      <c r="G38" s="86" t="s">
        <v>88</v>
      </c>
      <c r="H38" s="801" t="s">
        <v>522</v>
      </c>
    </row>
    <row r="39" spans="1:8" ht="15" customHeight="1" x14ac:dyDescent="0.25">
      <c r="A39" s="1021" t="s">
        <v>492</v>
      </c>
      <c r="B39" s="1022"/>
      <c r="C39" s="1022"/>
      <c r="D39" s="1022"/>
      <c r="E39" s="1023"/>
      <c r="F39" s="738">
        <f>$F$23*F38%</f>
        <v>0</v>
      </c>
      <c r="G39" s="742" t="s">
        <v>493</v>
      </c>
      <c r="H39" s="742" t="s">
        <v>494</v>
      </c>
    </row>
    <row r="40" spans="1:8" ht="67.5" x14ac:dyDescent="0.25">
      <c r="A40" s="1009" t="s">
        <v>89</v>
      </c>
      <c r="B40" s="1010"/>
      <c r="C40" s="1010"/>
      <c r="D40" s="1010"/>
      <c r="E40" s="1011"/>
      <c r="F40" s="754">
        <v>0</v>
      </c>
      <c r="G40" s="99" t="s">
        <v>90</v>
      </c>
      <c r="H40" s="801" t="s">
        <v>522</v>
      </c>
    </row>
    <row r="41" spans="1:8" ht="15" customHeight="1" x14ac:dyDescent="0.25">
      <c r="A41" s="1026" t="s">
        <v>496</v>
      </c>
      <c r="B41" s="1027"/>
      <c r="C41" s="1027"/>
      <c r="D41" s="1027"/>
      <c r="E41" s="1028"/>
      <c r="F41" s="755">
        <f>SUM(F35:F40)</f>
        <v>0</v>
      </c>
      <c r="G41" s="98"/>
      <c r="H41" s="801"/>
    </row>
    <row r="42" spans="1:8" s="26" customFormat="1" ht="23.25" thickBot="1" x14ac:dyDescent="0.25">
      <c r="A42" s="1029" t="s">
        <v>497</v>
      </c>
      <c r="B42" s="1029"/>
      <c r="C42" s="1029"/>
      <c r="D42" s="1029"/>
      <c r="E42" s="1029"/>
      <c r="F42" s="754">
        <f>ROUND(F31*F41/100,2)</f>
        <v>0</v>
      </c>
      <c r="G42" s="744" t="s">
        <v>498</v>
      </c>
      <c r="H42" s="801" t="s">
        <v>499</v>
      </c>
    </row>
    <row r="43" spans="1:8" ht="15.75" thickBot="1" x14ac:dyDescent="0.3">
      <c r="A43" s="1008" t="s">
        <v>91</v>
      </c>
      <c r="B43" s="1008"/>
      <c r="C43" s="1008"/>
      <c r="D43" s="1008"/>
      <c r="E43" s="1008"/>
      <c r="F43" s="745">
        <f>SUM(F41:F42)</f>
        <v>0</v>
      </c>
      <c r="G43" s="746"/>
      <c r="H43" s="90"/>
    </row>
    <row r="44" spans="1:8" x14ac:dyDescent="0.25">
      <c r="A44" s="100"/>
      <c r="B44" s="100"/>
      <c r="C44" s="100"/>
      <c r="D44" s="100"/>
      <c r="E44" s="100"/>
      <c r="F44" s="81"/>
      <c r="G44" s="75"/>
      <c r="H44" s="75"/>
    </row>
    <row r="45" spans="1:8" ht="18" thickBot="1" x14ac:dyDescent="0.35">
      <c r="A45" s="1024" t="s">
        <v>92</v>
      </c>
      <c r="B45" s="1024"/>
      <c r="C45" s="1024"/>
      <c r="D45" s="1024"/>
      <c r="E45" s="1024"/>
      <c r="F45" s="1024"/>
      <c r="G45" s="1024"/>
      <c r="H45" s="82"/>
    </row>
    <row r="46" spans="1:8" ht="15.75" thickTop="1" x14ac:dyDescent="0.25">
      <c r="A46" s="76"/>
      <c r="B46" s="76"/>
      <c r="C46" s="76"/>
      <c r="D46" s="76"/>
      <c r="E46" s="76"/>
      <c r="F46" s="83" t="s">
        <v>55</v>
      </c>
      <c r="G46" s="83" t="s">
        <v>56</v>
      </c>
      <c r="H46" s="83" t="s">
        <v>57</v>
      </c>
    </row>
    <row r="47" spans="1:8" ht="45" x14ac:dyDescent="0.25">
      <c r="A47" s="1009" t="s">
        <v>500</v>
      </c>
      <c r="B47" s="1010"/>
      <c r="C47" s="1010"/>
      <c r="D47" s="1010"/>
      <c r="E47" s="1011"/>
      <c r="F47" s="754">
        <v>0</v>
      </c>
      <c r="G47" s="86" t="s">
        <v>93</v>
      </c>
      <c r="H47" s="801" t="s">
        <v>523</v>
      </c>
    </row>
    <row r="48" spans="1:8" ht="45" x14ac:dyDescent="0.25">
      <c r="A48" s="1021" t="s">
        <v>501</v>
      </c>
      <c r="B48" s="1022"/>
      <c r="C48" s="1022"/>
      <c r="D48" s="1022"/>
      <c r="E48" s="1023"/>
      <c r="F48" s="754">
        <f>ROUND((1/30)/12*100,2)</f>
        <v>0.28000000000000003</v>
      </c>
      <c r="G48" s="800" t="s">
        <v>527</v>
      </c>
      <c r="H48" s="801" t="s">
        <v>526</v>
      </c>
    </row>
    <row r="49" spans="1:8" ht="67.5" x14ac:dyDescent="0.25">
      <c r="A49" s="1009" t="s">
        <v>94</v>
      </c>
      <c r="B49" s="1010"/>
      <c r="C49" s="1010"/>
      <c r="D49" s="1010"/>
      <c r="E49" s="1011"/>
      <c r="F49" s="754">
        <v>0</v>
      </c>
      <c r="G49" s="85" t="s">
        <v>95</v>
      </c>
      <c r="H49" s="801" t="s">
        <v>523</v>
      </c>
    </row>
    <row r="50" spans="1:8" ht="112.5" x14ac:dyDescent="0.25">
      <c r="A50" s="1009" t="s">
        <v>96</v>
      </c>
      <c r="B50" s="1010"/>
      <c r="C50" s="1010"/>
      <c r="D50" s="1010"/>
      <c r="E50" s="1011"/>
      <c r="F50" s="754">
        <v>0</v>
      </c>
      <c r="G50" s="747" t="s">
        <v>97</v>
      </c>
      <c r="H50" s="801" t="s">
        <v>523</v>
      </c>
    </row>
    <row r="51" spans="1:8" ht="45" x14ac:dyDescent="0.25">
      <c r="A51" s="1018" t="s">
        <v>545</v>
      </c>
      <c r="B51" s="1019"/>
      <c r="C51" s="1019"/>
      <c r="D51" s="1019"/>
      <c r="E51" s="1020"/>
      <c r="F51" s="754">
        <f>ROUND((4.96/30)/12*100,2)</f>
        <v>1.38</v>
      </c>
      <c r="G51" s="820" t="s">
        <v>546</v>
      </c>
      <c r="H51" s="819" t="s">
        <v>547</v>
      </c>
    </row>
    <row r="52" spans="1:8" ht="90" x14ac:dyDescent="0.25">
      <c r="A52" s="1009" t="s">
        <v>98</v>
      </c>
      <c r="B52" s="1010"/>
      <c r="C52" s="1010"/>
      <c r="D52" s="1010"/>
      <c r="E52" s="1011"/>
      <c r="F52" s="754">
        <f>ROUND((((15/30)/12)*0.0078)*100,2)</f>
        <v>0.03</v>
      </c>
      <c r="G52" s="86" t="s">
        <v>99</v>
      </c>
      <c r="H52" s="801" t="s">
        <v>502</v>
      </c>
    </row>
    <row r="53" spans="1:8" x14ac:dyDescent="0.25">
      <c r="A53" s="1012" t="s">
        <v>100</v>
      </c>
      <c r="B53" s="1013"/>
      <c r="C53" s="1013"/>
      <c r="D53" s="1013"/>
      <c r="E53" s="1014"/>
      <c r="F53" s="738">
        <f>SUM(F47:F52)</f>
        <v>1.69</v>
      </c>
      <c r="G53" s="101"/>
      <c r="H53" s="101"/>
    </row>
    <row r="54" spans="1:8" s="26" customFormat="1" ht="26.25" customHeight="1" x14ac:dyDescent="0.2">
      <c r="A54" s="1015" t="s">
        <v>503</v>
      </c>
      <c r="B54" s="1016"/>
      <c r="C54" s="1016"/>
      <c r="D54" s="1016"/>
      <c r="E54" s="1017"/>
      <c r="F54" s="748">
        <f>F53%*$F$23</f>
        <v>0.67261999999999988</v>
      </c>
      <c r="G54" s="749" t="s">
        <v>504</v>
      </c>
      <c r="H54" s="750" t="s">
        <v>505</v>
      </c>
    </row>
    <row r="55" spans="1:8" s="26" customFormat="1" ht="34.5" thickBot="1" x14ac:dyDescent="0.25">
      <c r="A55" s="1025" t="s">
        <v>506</v>
      </c>
      <c r="B55" s="1025"/>
      <c r="C55" s="1025"/>
      <c r="D55" s="1025"/>
      <c r="E55" s="1025"/>
      <c r="F55" s="748">
        <f>ROUND((F31+F43)*F53/100,2)</f>
        <v>0.26</v>
      </c>
      <c r="G55" s="751" t="s">
        <v>507</v>
      </c>
      <c r="H55" s="751" t="s">
        <v>508</v>
      </c>
    </row>
    <row r="56" spans="1:8" ht="15.75" thickBot="1" x14ac:dyDescent="0.3">
      <c r="A56" s="1008" t="s">
        <v>101</v>
      </c>
      <c r="B56" s="1008"/>
      <c r="C56" s="1008"/>
      <c r="D56" s="1008"/>
      <c r="E56" s="1008"/>
      <c r="F56" s="752">
        <f>SUM(F53:F55)</f>
        <v>2.6226199999999995</v>
      </c>
      <c r="G56" s="746"/>
      <c r="H56" s="90"/>
    </row>
    <row r="57" spans="1:8" ht="15.75" thickBot="1" x14ac:dyDescent="0.3">
      <c r="A57" s="100"/>
      <c r="B57" s="100"/>
      <c r="C57" s="100"/>
      <c r="D57" s="100"/>
      <c r="E57" s="100"/>
      <c r="F57" s="81"/>
      <c r="G57" s="75"/>
      <c r="H57" s="75"/>
    </row>
    <row r="58" spans="1:8" ht="15.75" thickBot="1" x14ac:dyDescent="0.3">
      <c r="A58" s="1001" t="s">
        <v>102</v>
      </c>
      <c r="B58" s="1002"/>
      <c r="C58" s="1002"/>
      <c r="D58" s="1002"/>
      <c r="E58" s="1002"/>
      <c r="F58" s="1002"/>
      <c r="G58" s="1002"/>
      <c r="H58" s="1003"/>
    </row>
    <row r="59" spans="1:8" x14ac:dyDescent="0.25">
      <c r="A59" s="76"/>
      <c r="B59" s="76"/>
      <c r="C59" s="76"/>
      <c r="D59" s="76"/>
      <c r="E59" s="76"/>
      <c r="F59" s="74"/>
      <c r="G59" s="103"/>
      <c r="H59" s="103"/>
    </row>
    <row r="60" spans="1:8" ht="15.75" thickBot="1" x14ac:dyDescent="0.3">
      <c r="A60" s="1007" t="s">
        <v>103</v>
      </c>
      <c r="B60" s="1007"/>
      <c r="C60" s="1007"/>
      <c r="D60" s="1007"/>
      <c r="E60" s="1007"/>
      <c r="F60" s="104">
        <f>F23</f>
        <v>39.799999999999997</v>
      </c>
      <c r="G60" s="76"/>
      <c r="H60" s="76"/>
    </row>
    <row r="61" spans="1:8" ht="15.75" thickBot="1" x14ac:dyDescent="0.3">
      <c r="A61" s="1004" t="s">
        <v>104</v>
      </c>
      <c r="B61" s="1004"/>
      <c r="C61" s="1004"/>
      <c r="D61" s="1004"/>
      <c r="E61" s="1004"/>
      <c r="F61" s="104">
        <f>F31</f>
        <v>15.531779999999998</v>
      </c>
      <c r="G61" s="76"/>
      <c r="H61" s="76"/>
    </row>
    <row r="62" spans="1:8" ht="15.75" thickBot="1" x14ac:dyDescent="0.3">
      <c r="A62" s="1004" t="s">
        <v>105</v>
      </c>
      <c r="B62" s="1004"/>
      <c r="C62" s="1004"/>
      <c r="D62" s="1004"/>
      <c r="E62" s="1004"/>
      <c r="F62" s="104">
        <f>F43</f>
        <v>0</v>
      </c>
      <c r="G62" s="76"/>
      <c r="H62" s="76"/>
    </row>
    <row r="63" spans="1:8" ht="15.75" thickBot="1" x14ac:dyDescent="0.3">
      <c r="A63" s="1004" t="s">
        <v>106</v>
      </c>
      <c r="B63" s="1004"/>
      <c r="C63" s="1004"/>
      <c r="D63" s="1004"/>
      <c r="E63" s="1004"/>
      <c r="F63" s="104">
        <f>F56</f>
        <v>2.6226199999999995</v>
      </c>
      <c r="G63" s="76"/>
      <c r="H63" s="76"/>
    </row>
    <row r="64" spans="1:8" ht="15.75" thickBot="1" x14ac:dyDescent="0.3">
      <c r="A64" s="1005" t="s">
        <v>107</v>
      </c>
      <c r="B64" s="1005"/>
      <c r="C64" s="1005"/>
      <c r="D64" s="1005"/>
      <c r="E64" s="1006"/>
      <c r="F64" s="102">
        <f>SUM(F60:F63)</f>
        <v>57.954399999999993</v>
      </c>
      <c r="G64" s="89" t="s">
        <v>55</v>
      </c>
      <c r="H64" s="90"/>
    </row>
  </sheetData>
  <sheetProtection algorithmName="SHA-512" hashValue="PCdJCxrqRwyv8ZScUqKENJWvyBMhh5KzBEe7I9QHE6p5Trl8uvn3UFpK8bwgx7cPGKcalEay2BF7IqkNiRkWTw==" saltValue="/XSYGmF3rDPeDPUlsAKpHA==" spinCount="100000" sheet="1" objects="1" scenarios="1" selectLockedCells="1"/>
  <mergeCells count="48">
    <mergeCell ref="A27:E27"/>
    <mergeCell ref="A11:H11"/>
    <mergeCell ref="A13:G13"/>
    <mergeCell ref="A15:E15"/>
    <mergeCell ref="A16:E16"/>
    <mergeCell ref="A17:E17"/>
    <mergeCell ref="A18:E18"/>
    <mergeCell ref="A19:E19"/>
    <mergeCell ref="A20:E20"/>
    <mergeCell ref="A1:H1"/>
    <mergeCell ref="A2:H2"/>
    <mergeCell ref="A3:H3"/>
    <mergeCell ref="A5:H5"/>
    <mergeCell ref="A6:H6"/>
    <mergeCell ref="A38:E38"/>
    <mergeCell ref="A39:E39"/>
    <mergeCell ref="A40:E40"/>
    <mergeCell ref="A41:E41"/>
    <mergeCell ref="A51:E51"/>
    <mergeCell ref="A64:E64"/>
    <mergeCell ref="A58:H58"/>
    <mergeCell ref="A43:E43"/>
    <mergeCell ref="A45:G45"/>
    <mergeCell ref="A47:E47"/>
    <mergeCell ref="A48:E48"/>
    <mergeCell ref="A49:E49"/>
    <mergeCell ref="A50:E50"/>
    <mergeCell ref="A52:E52"/>
    <mergeCell ref="A53:E53"/>
    <mergeCell ref="A54:E54"/>
    <mergeCell ref="A55:E55"/>
    <mergeCell ref="A56:E56"/>
    <mergeCell ref="A8:F8"/>
    <mergeCell ref="A60:E60"/>
    <mergeCell ref="A61:E61"/>
    <mergeCell ref="A62:E62"/>
    <mergeCell ref="A63:E63"/>
    <mergeCell ref="A22:E22"/>
    <mergeCell ref="A23:E23"/>
    <mergeCell ref="A25:G25"/>
    <mergeCell ref="A42:E42"/>
    <mergeCell ref="A28:E28"/>
    <mergeCell ref="A29:E29"/>
    <mergeCell ref="A30:E30"/>
    <mergeCell ref="A31:E31"/>
    <mergeCell ref="A35:E35"/>
    <mergeCell ref="A36:E36"/>
    <mergeCell ref="A37:E37"/>
  </mergeCells>
  <conditionalFormatting sqref="G8">
    <cfRule type="expression" dxfId="1" priority="1">
      <formula>$F$8&lt;&gt;""</formula>
    </cfRule>
  </conditionalFormatting>
  <conditionalFormatting sqref="G9">
    <cfRule type="expression" dxfId="0" priority="2">
      <formula>$F$9&lt;&gt;""</formula>
    </cfRule>
  </conditionalFormatting>
  <printOptions horizontalCentered="1"/>
  <pageMargins left="0.51181102362204722" right="0.51181102362204722" top="0.78740157480314965" bottom="0.78740157480314965" header="0.31496062992125984" footer="0.31496062992125984"/>
  <pageSetup paperSize="9" scale="61" fitToHeight="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5"/>
  <sheetViews>
    <sheetView showGridLines="0" view="pageBreakPreview" zoomScaleNormal="100" zoomScaleSheetLayoutView="100" workbookViewId="0">
      <selection activeCell="F11" sqref="F11"/>
    </sheetView>
  </sheetViews>
  <sheetFormatPr defaultRowHeight="15" x14ac:dyDescent="0.25"/>
  <cols>
    <col min="1" max="8" width="15.7109375" style="544" customWidth="1"/>
    <col min="9" max="16384" width="9.140625" style="544"/>
  </cols>
  <sheetData>
    <row r="1" spans="1:10" ht="15.75" x14ac:dyDescent="0.25">
      <c r="A1" s="1103" t="str">
        <f>'POSTOS e RESUMO'!A1:U1</f>
        <v>TRIBUNAL REGIONAL ELEITORAL DO PARANÁ</v>
      </c>
      <c r="B1" s="1103"/>
      <c r="C1" s="1103"/>
      <c r="D1" s="1103"/>
      <c r="E1" s="1103"/>
      <c r="F1" s="1103"/>
      <c r="G1" s="1103"/>
      <c r="H1" s="1103"/>
    </row>
    <row r="2" spans="1:10" ht="15" customHeight="1" x14ac:dyDescent="0.25">
      <c r="A2" s="1104" t="str">
        <f>'POSTOS e RESUMO'!A2:U2</f>
        <v>PLANILHA DE FORMAÇÃO DE CUSTOS E PREÇOS - Estimativa TRE-PR</v>
      </c>
      <c r="B2" s="1104"/>
      <c r="C2" s="1104"/>
      <c r="D2" s="1104"/>
      <c r="E2" s="1104"/>
      <c r="F2" s="1104"/>
      <c r="G2" s="1104"/>
      <c r="H2" s="1104"/>
    </row>
    <row r="3" spans="1:10" x14ac:dyDescent="0.25">
      <c r="A3" s="1105" t="str">
        <f>'POSTOS e RESUMO'!A3:U3</f>
        <v>Serviços de Limpeza, Copeiragem, Manutenção de Áreas Verdes e Limpeza em Altura - Polo 4 - Maringá e Região</v>
      </c>
      <c r="B3" s="1105"/>
      <c r="C3" s="1105"/>
      <c r="D3" s="1105"/>
      <c r="E3" s="1105"/>
      <c r="F3" s="1105"/>
      <c r="G3" s="1105"/>
      <c r="H3" s="1105"/>
    </row>
    <row r="4" spans="1:10" s="529" customFormat="1" ht="15.75" x14ac:dyDescent="0.25">
      <c r="A4" s="545"/>
      <c r="B4" s="545"/>
      <c r="C4" s="545"/>
      <c r="D4" s="546"/>
      <c r="F4" s="547"/>
      <c r="G4" s="547"/>
      <c r="H4" s="547"/>
      <c r="I4" s="547"/>
      <c r="J4" s="548"/>
    </row>
    <row r="5" spans="1:10" ht="15" customHeight="1" x14ac:dyDescent="0.25">
      <c r="A5" s="1106" t="str">
        <f>'POSTOS e RESUMO'!A8:U8</f>
        <v>EMPRESA</v>
      </c>
      <c r="B5" s="1107"/>
      <c r="C5" s="1107"/>
      <c r="D5" s="1107"/>
      <c r="E5" s="1107"/>
      <c r="F5" s="1107"/>
      <c r="G5" s="1107"/>
      <c r="H5" s="1108"/>
    </row>
    <row r="6" spans="1:10" ht="15" customHeight="1" x14ac:dyDescent="0.25">
      <c r="A6" s="1109" t="str">
        <f>'POSTOS e RESUMO'!A9:U9</f>
        <v>CNPJ</v>
      </c>
      <c r="B6" s="1110"/>
      <c r="C6" s="1110"/>
      <c r="D6" s="1110"/>
      <c r="E6" s="1110"/>
      <c r="F6" s="1110"/>
      <c r="G6" s="1110"/>
      <c r="H6" s="1111"/>
    </row>
    <row r="7" spans="1:10" x14ac:dyDescent="0.25">
      <c r="A7" s="549"/>
      <c r="B7" s="549"/>
      <c r="C7" s="549"/>
      <c r="D7" s="550"/>
    </row>
    <row r="8" spans="1:10" ht="15" customHeight="1" x14ac:dyDescent="0.25">
      <c r="A8" s="1100" t="s">
        <v>108</v>
      </c>
      <c r="B8" s="1101"/>
      <c r="C8" s="1101"/>
      <c r="D8" s="1101"/>
      <c r="E8" s="1101"/>
      <c r="F8" s="1101"/>
      <c r="G8" s="1101"/>
      <c r="H8" s="1102"/>
    </row>
    <row r="9" spans="1:10" ht="15.75" thickBot="1" x14ac:dyDescent="0.3">
      <c r="A9" s="551"/>
      <c r="B9" s="551"/>
      <c r="C9" s="551"/>
      <c r="D9" s="550"/>
    </row>
    <row r="10" spans="1:10" ht="15.75" thickBot="1" x14ac:dyDescent="0.3">
      <c r="A10" s="550"/>
      <c r="C10" s="1094" t="s">
        <v>109</v>
      </c>
      <c r="D10" s="1095"/>
      <c r="E10" s="1096"/>
      <c r="F10" s="802" t="s">
        <v>110</v>
      </c>
    </row>
    <row r="11" spans="1:10" x14ac:dyDescent="0.25">
      <c r="A11" s="550"/>
      <c r="C11" s="1097" t="s">
        <v>111</v>
      </c>
      <c r="D11" s="1098"/>
      <c r="E11" s="1099"/>
      <c r="F11" s="803">
        <v>5.1200000000000002E-2</v>
      </c>
    </row>
    <row r="12" spans="1:10" x14ac:dyDescent="0.25">
      <c r="A12" s="550"/>
      <c r="C12" s="1076" t="s">
        <v>406</v>
      </c>
      <c r="D12" s="1077"/>
      <c r="E12" s="1078"/>
      <c r="F12" s="804">
        <v>0.1</v>
      </c>
    </row>
    <row r="13" spans="1:10" x14ac:dyDescent="0.25">
      <c r="A13" s="550"/>
      <c r="C13" s="1076" t="s">
        <v>528</v>
      </c>
      <c r="D13" s="1077"/>
      <c r="E13" s="1078"/>
      <c r="F13" s="805">
        <v>1.6500000000000001E-2</v>
      </c>
    </row>
    <row r="14" spans="1:10" x14ac:dyDescent="0.25">
      <c r="A14" s="550"/>
      <c r="C14" s="1076" t="s">
        <v>529</v>
      </c>
      <c r="D14" s="1077"/>
      <c r="E14" s="1078"/>
      <c r="F14" s="805">
        <v>7.5999999999999998E-2</v>
      </c>
    </row>
    <row r="15" spans="1:10" x14ac:dyDescent="0.25">
      <c r="A15" s="550"/>
      <c r="C15" s="1076" t="s">
        <v>407</v>
      </c>
      <c r="D15" s="1077"/>
      <c r="E15" s="1078"/>
      <c r="F15" s="805">
        <v>0.05</v>
      </c>
    </row>
    <row r="16" spans="1:10" ht="15.75" thickBot="1" x14ac:dyDescent="0.3">
      <c r="A16" s="550"/>
      <c r="C16" s="1079" t="s">
        <v>408</v>
      </c>
      <c r="D16" s="1080"/>
      <c r="E16" s="1081"/>
      <c r="F16" s="806"/>
    </row>
    <row r="17" spans="1:8" s="576" customFormat="1" ht="15.75" customHeight="1" thickBot="1" x14ac:dyDescent="0.3">
      <c r="A17" s="224"/>
      <c r="C17" s="1082" t="s">
        <v>530</v>
      </c>
      <c r="D17" s="1083"/>
      <c r="E17" s="1084"/>
      <c r="F17" s="807">
        <f>ROUND(((1+F11)*(1+F12)/(1-(F13+F14+F15+F16))-1),2)</f>
        <v>0.35</v>
      </c>
    </row>
    <row r="18" spans="1:8" s="401" customFormat="1" x14ac:dyDescent="0.25">
      <c r="A18" s="552"/>
      <c r="B18" s="553"/>
      <c r="C18" s="553"/>
      <c r="D18" s="26"/>
    </row>
    <row r="19" spans="1:8" s="401" customFormat="1" ht="15.75" thickBot="1" x14ac:dyDescent="0.3">
      <c r="A19" s="1085" t="s">
        <v>112</v>
      </c>
      <c r="B19" s="1085"/>
      <c r="C19" s="1085"/>
      <c r="D19" s="1085"/>
      <c r="E19" s="1085"/>
      <c r="F19" s="1085"/>
      <c r="G19" s="1085"/>
      <c r="H19" s="1085"/>
    </row>
    <row r="20" spans="1:8" s="401" customFormat="1" ht="15.75" thickTop="1" x14ac:dyDescent="0.25">
      <c r="A20" s="1087" t="s">
        <v>409</v>
      </c>
      <c r="B20" s="1088"/>
      <c r="C20" s="779"/>
      <c r="D20" s="26"/>
    </row>
    <row r="21" spans="1:8" s="401" customFormat="1" x14ac:dyDescent="0.25">
      <c r="A21" s="554"/>
      <c r="B21" s="780"/>
      <c r="C21" s="780"/>
      <c r="D21" s="26"/>
    </row>
    <row r="22" spans="1:8" s="555" customFormat="1" ht="15.75" customHeight="1" thickBot="1" x14ac:dyDescent="0.25">
      <c r="A22" s="1086" t="s">
        <v>346</v>
      </c>
      <c r="B22" s="1086"/>
      <c r="C22" s="1086"/>
      <c r="D22" s="1086"/>
      <c r="E22" s="1086"/>
      <c r="F22" s="1086"/>
      <c r="G22" s="1086"/>
      <c r="H22" s="1086"/>
    </row>
    <row r="23" spans="1:8" s="556" customFormat="1" ht="30" customHeight="1" thickTop="1" thickBot="1" x14ac:dyDescent="0.3">
      <c r="A23" s="1089" t="s">
        <v>410</v>
      </c>
      <c r="B23" s="1089"/>
      <c r="C23" s="1089"/>
      <c r="D23" s="1089"/>
      <c r="E23" s="1089"/>
      <c r="F23" s="1089"/>
      <c r="G23" s="1089"/>
      <c r="H23" s="1089"/>
    </row>
    <row r="24" spans="1:8" s="556" customFormat="1" ht="30" customHeight="1" thickTop="1" thickBot="1" x14ac:dyDescent="0.3">
      <c r="A24" s="1090" t="s">
        <v>411</v>
      </c>
      <c r="B24" s="1090"/>
      <c r="C24" s="1090"/>
      <c r="D24" s="1090"/>
      <c r="E24" s="1090"/>
      <c r="F24" s="1090"/>
      <c r="G24" s="1090"/>
      <c r="H24" s="1090"/>
    </row>
    <row r="25" spans="1:8" s="557" customFormat="1" ht="30" customHeight="1" thickTop="1" x14ac:dyDescent="0.25">
      <c r="A25" s="1091" t="s">
        <v>544</v>
      </c>
      <c r="B25" s="1091"/>
      <c r="C25" s="1091"/>
      <c r="D25" s="1091"/>
      <c r="E25" s="1091"/>
      <c r="F25" s="1091"/>
      <c r="G25" s="1091"/>
      <c r="H25" s="1091"/>
    </row>
    <row r="26" spans="1:8" s="558" customFormat="1" ht="42" customHeight="1" x14ac:dyDescent="0.25">
      <c r="A26" s="1092" t="s">
        <v>412</v>
      </c>
      <c r="B26" s="1092"/>
      <c r="C26" s="1092"/>
      <c r="D26" s="1092"/>
      <c r="E26" s="1092"/>
      <c r="F26" s="1092"/>
      <c r="G26" s="1092"/>
      <c r="H26" s="1092"/>
    </row>
    <row r="27" spans="1:8" s="557" customFormat="1" ht="30" customHeight="1" x14ac:dyDescent="0.25">
      <c r="A27" s="1093" t="s">
        <v>531</v>
      </c>
      <c r="B27" s="1093"/>
      <c r="C27" s="1093"/>
      <c r="D27" s="1093"/>
      <c r="E27" s="1093"/>
      <c r="F27" s="1093"/>
      <c r="G27" s="1093"/>
      <c r="H27" s="1093"/>
    </row>
    <row r="29" spans="1:8" ht="15.75" customHeight="1" thickBot="1" x14ac:dyDescent="0.3">
      <c r="A29" s="1072" t="s">
        <v>532</v>
      </c>
      <c r="B29" s="1072"/>
      <c r="C29" s="1072"/>
      <c r="D29" s="1072"/>
      <c r="E29" s="1072"/>
      <c r="F29" s="1072"/>
      <c r="G29" s="1072"/>
      <c r="H29" s="1072"/>
    </row>
    <row r="30" spans="1:8" ht="16.5" thickTop="1" thickBot="1" x14ac:dyDescent="0.3"/>
    <row r="31" spans="1:8" ht="15.75" thickBot="1" x14ac:dyDescent="0.3">
      <c r="A31" s="1073" t="s">
        <v>533</v>
      </c>
      <c r="B31" s="1074"/>
      <c r="C31" s="1074"/>
      <c r="D31" s="1074"/>
      <c r="E31" s="1074"/>
      <c r="F31" s="1074"/>
      <c r="G31" s="1074"/>
      <c r="H31" s="1075"/>
    </row>
    <row r="32" spans="1:8" s="809" customFormat="1" ht="30" customHeight="1" x14ac:dyDescent="0.25">
      <c r="A32" s="808" t="s">
        <v>534</v>
      </c>
      <c r="B32" s="808" t="s">
        <v>535</v>
      </c>
      <c r="C32" s="808" t="s">
        <v>536</v>
      </c>
      <c r="D32" s="808" t="s">
        <v>537</v>
      </c>
      <c r="E32" s="808" t="s">
        <v>538</v>
      </c>
      <c r="F32" s="808" t="s">
        <v>539</v>
      </c>
      <c r="G32" s="808" t="s">
        <v>540</v>
      </c>
      <c r="H32" s="808" t="s">
        <v>541</v>
      </c>
    </row>
    <row r="33" spans="1:8" x14ac:dyDescent="0.25">
      <c r="A33" s="810"/>
      <c r="B33" s="811"/>
      <c r="C33" s="811"/>
      <c r="D33" s="811"/>
      <c r="E33" s="812">
        <f>IFERROR((C33-D33)/B33,0)</f>
        <v>0</v>
      </c>
      <c r="F33" s="813"/>
      <c r="G33" s="813"/>
      <c r="H33" s="812">
        <f>IFERROR((F33-G33)/B33,0)</f>
        <v>0</v>
      </c>
    </row>
    <row r="34" spans="1:8" x14ac:dyDescent="0.25">
      <c r="A34" s="810"/>
      <c r="B34" s="811"/>
      <c r="C34" s="811"/>
      <c r="D34" s="811"/>
      <c r="E34" s="812">
        <f t="shared" ref="E34:E44" si="0">IFERROR((C34-D34)/B34,0)</f>
        <v>0</v>
      </c>
      <c r="F34" s="813"/>
      <c r="G34" s="813"/>
      <c r="H34" s="812">
        <f t="shared" ref="H34:H44" si="1">IFERROR((F34-G34)/B34,0)</f>
        <v>0</v>
      </c>
    </row>
    <row r="35" spans="1:8" x14ac:dyDescent="0.25">
      <c r="A35" s="810"/>
      <c r="B35" s="811"/>
      <c r="C35" s="811"/>
      <c r="D35" s="811"/>
      <c r="E35" s="812">
        <f t="shared" si="0"/>
        <v>0</v>
      </c>
      <c r="F35" s="813"/>
      <c r="G35" s="813"/>
      <c r="H35" s="812">
        <f t="shared" si="1"/>
        <v>0</v>
      </c>
    </row>
    <row r="36" spans="1:8" x14ac:dyDescent="0.25">
      <c r="A36" s="810"/>
      <c r="B36" s="811"/>
      <c r="C36" s="811"/>
      <c r="D36" s="811"/>
      <c r="E36" s="812">
        <f t="shared" si="0"/>
        <v>0</v>
      </c>
      <c r="F36" s="813"/>
      <c r="G36" s="813"/>
      <c r="H36" s="812">
        <f t="shared" si="1"/>
        <v>0</v>
      </c>
    </row>
    <row r="37" spans="1:8" x14ac:dyDescent="0.25">
      <c r="A37" s="810"/>
      <c r="B37" s="811"/>
      <c r="C37" s="811"/>
      <c r="D37" s="811"/>
      <c r="E37" s="812">
        <f t="shared" si="0"/>
        <v>0</v>
      </c>
      <c r="F37" s="813"/>
      <c r="G37" s="813"/>
      <c r="H37" s="812">
        <f t="shared" si="1"/>
        <v>0</v>
      </c>
    </row>
    <row r="38" spans="1:8" x14ac:dyDescent="0.25">
      <c r="A38" s="810"/>
      <c r="B38" s="811"/>
      <c r="C38" s="811"/>
      <c r="D38" s="811"/>
      <c r="E38" s="812">
        <f t="shared" si="0"/>
        <v>0</v>
      </c>
      <c r="F38" s="813"/>
      <c r="G38" s="813"/>
      <c r="H38" s="812">
        <f t="shared" si="1"/>
        <v>0</v>
      </c>
    </row>
    <row r="39" spans="1:8" x14ac:dyDescent="0.25">
      <c r="A39" s="810"/>
      <c r="B39" s="811"/>
      <c r="C39" s="811"/>
      <c r="D39" s="811"/>
      <c r="E39" s="812">
        <f t="shared" si="0"/>
        <v>0</v>
      </c>
      <c r="F39" s="813"/>
      <c r="G39" s="813"/>
      <c r="H39" s="812">
        <f t="shared" si="1"/>
        <v>0</v>
      </c>
    </row>
    <row r="40" spans="1:8" x14ac:dyDescent="0.25">
      <c r="A40" s="810"/>
      <c r="B40" s="811"/>
      <c r="C40" s="811"/>
      <c r="D40" s="811"/>
      <c r="E40" s="812">
        <f t="shared" si="0"/>
        <v>0</v>
      </c>
      <c r="F40" s="813"/>
      <c r="G40" s="813"/>
      <c r="H40" s="812">
        <f t="shared" si="1"/>
        <v>0</v>
      </c>
    </row>
    <row r="41" spans="1:8" x14ac:dyDescent="0.25">
      <c r="A41" s="810"/>
      <c r="B41" s="811"/>
      <c r="C41" s="811"/>
      <c r="D41" s="811"/>
      <c r="E41" s="812">
        <f t="shared" si="0"/>
        <v>0</v>
      </c>
      <c r="F41" s="813"/>
      <c r="G41" s="813"/>
      <c r="H41" s="812">
        <f t="shared" si="1"/>
        <v>0</v>
      </c>
    </row>
    <row r="42" spans="1:8" x14ac:dyDescent="0.25">
      <c r="A42" s="810"/>
      <c r="B42" s="811"/>
      <c r="C42" s="811"/>
      <c r="D42" s="811"/>
      <c r="E42" s="812">
        <f t="shared" si="0"/>
        <v>0</v>
      </c>
      <c r="F42" s="813"/>
      <c r="G42" s="813"/>
      <c r="H42" s="812">
        <f t="shared" si="1"/>
        <v>0</v>
      </c>
    </row>
    <row r="43" spans="1:8" x14ac:dyDescent="0.25">
      <c r="A43" s="810"/>
      <c r="B43" s="811"/>
      <c r="C43" s="811"/>
      <c r="D43" s="811"/>
      <c r="E43" s="812">
        <f t="shared" si="0"/>
        <v>0</v>
      </c>
      <c r="F43" s="813"/>
      <c r="G43" s="813"/>
      <c r="H43" s="812">
        <f t="shared" si="1"/>
        <v>0</v>
      </c>
    </row>
    <row r="44" spans="1:8" ht="15.75" thickBot="1" x14ac:dyDescent="0.3">
      <c r="A44" s="810"/>
      <c r="B44" s="811"/>
      <c r="C44" s="811"/>
      <c r="D44" s="811"/>
      <c r="E44" s="812">
        <f t="shared" si="0"/>
        <v>0</v>
      </c>
      <c r="F44" s="813"/>
      <c r="G44" s="813"/>
      <c r="H44" s="812">
        <f t="shared" si="1"/>
        <v>0</v>
      </c>
    </row>
    <row r="45" spans="1:8" ht="15.75" thickBot="1" x14ac:dyDescent="0.3">
      <c r="A45" s="814"/>
      <c r="B45" s="814"/>
      <c r="C45" s="815"/>
      <c r="D45" s="816" t="s">
        <v>542</v>
      </c>
      <c r="E45" s="817">
        <f>TRUNC(AVERAGE(E33:E44),4)</f>
        <v>0</v>
      </c>
      <c r="G45" s="818" t="s">
        <v>543</v>
      </c>
      <c r="H45" s="817">
        <f>TRUNC(AVERAGE(H33:H44),4)</f>
        <v>0</v>
      </c>
    </row>
  </sheetData>
  <sheetProtection algorithmName="SHA-512" hashValue="SBWthSZCT95AyWWZWFyLBKbEgYDcAIhx0GugpQXV4NyqxOzGlX9v9hgLCmvCvhFukSHYmOXwRoECraYYP8j/nw==" saltValue="kX0U0+nimX/kYkC7VUNQlA==" spinCount="100000" sheet="1" objects="1" scenarios="1" selectLockedCells="1"/>
  <mergeCells count="24">
    <mergeCell ref="A8:H8"/>
    <mergeCell ref="A1:H1"/>
    <mergeCell ref="A2:H2"/>
    <mergeCell ref="A3:H3"/>
    <mergeCell ref="A5:H5"/>
    <mergeCell ref="A6:H6"/>
    <mergeCell ref="C10:E10"/>
    <mergeCell ref="C11:E11"/>
    <mergeCell ref="C12:E12"/>
    <mergeCell ref="C13:E13"/>
    <mergeCell ref="C14:E14"/>
    <mergeCell ref="A29:H29"/>
    <mergeCell ref="A31:H31"/>
    <mergeCell ref="C15:E15"/>
    <mergeCell ref="C16:E16"/>
    <mergeCell ref="C17:E17"/>
    <mergeCell ref="A19:H19"/>
    <mergeCell ref="A22:H22"/>
    <mergeCell ref="A20:B20"/>
    <mergeCell ref="A23:H23"/>
    <mergeCell ref="A24:H24"/>
    <mergeCell ref="A25:H25"/>
    <mergeCell ref="A26:H26"/>
    <mergeCell ref="A27:H27"/>
  </mergeCells>
  <printOptions horizontalCentered="1"/>
  <pageMargins left="0.78740157480314965" right="0.78740157480314965" top="0.78740157480314965" bottom="0.78740157480314965" header="0.31496062992125984" footer="0.31496062992125984"/>
  <pageSetup paperSize="9" scale="68" orientation="portrait" r:id="rId1"/>
  <headerFooter>
    <oddHeader>&amp;R&amp;P</oddHeader>
    <oddFooter>&amp;L&amp;9SACCON/CPC/SECAD&amp;C&amp;8Última alteração por KETLYN &amp;D&amp;R&amp;9&amp;A
Página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showGridLines="0" view="pageBreakPreview" zoomScale="110" zoomScaleNormal="100" zoomScaleSheetLayoutView="110" workbookViewId="0">
      <selection sqref="A1:H1"/>
    </sheetView>
  </sheetViews>
  <sheetFormatPr defaultRowHeight="15" x14ac:dyDescent="0.25"/>
  <cols>
    <col min="1" max="1" width="9.140625" customWidth="1"/>
    <col min="2" max="2" width="29.140625" customWidth="1"/>
    <col min="3" max="7" width="12.7109375" customWidth="1"/>
    <col min="8" max="8" width="9.140625" customWidth="1"/>
  </cols>
  <sheetData>
    <row r="1" spans="1:8" ht="15.75" x14ac:dyDescent="0.25">
      <c r="A1" s="1040" t="str">
        <f>'POSTOS e RESUMO'!A1:U1</f>
        <v>TRIBUNAL REGIONAL ELEITORAL DO PARANÁ</v>
      </c>
      <c r="B1" s="1040"/>
      <c r="C1" s="1040"/>
      <c r="D1" s="1040"/>
      <c r="E1" s="1040"/>
      <c r="F1" s="1040"/>
      <c r="G1" s="1040"/>
      <c r="H1" s="1040"/>
    </row>
    <row r="2" spans="1:8" x14ac:dyDescent="0.25">
      <c r="A2" s="1125" t="str">
        <f>'POSTOS e RESUMO'!A2:U2</f>
        <v>PLANILHA DE FORMAÇÃO DE CUSTOS E PREÇOS - Estimativa TRE-PR</v>
      </c>
      <c r="B2" s="952"/>
      <c r="C2" s="952"/>
      <c r="D2" s="952"/>
      <c r="E2" s="952"/>
      <c r="F2" s="952"/>
      <c r="G2" s="952"/>
      <c r="H2" s="952"/>
    </row>
    <row r="3" spans="1:8" x14ac:dyDescent="0.25">
      <c r="A3" s="1126" t="str">
        <f>'POSTOS e RESUMO'!A3:U3</f>
        <v>Serviços de Limpeza, Copeiragem, Manutenção de Áreas Verdes e Limpeza em Altura - Polo 4 - Maringá e Região</v>
      </c>
      <c r="B3" s="952"/>
      <c r="C3" s="952"/>
      <c r="D3" s="952"/>
      <c r="E3" s="952"/>
      <c r="F3" s="952"/>
      <c r="G3" s="952"/>
      <c r="H3" s="952"/>
    </row>
    <row r="4" spans="1:8" ht="15.75" x14ac:dyDescent="0.25">
      <c r="A4" s="1127"/>
      <c r="B4" s="951"/>
      <c r="C4" s="951"/>
      <c r="D4" s="951"/>
      <c r="E4" s="951"/>
      <c r="F4" s="951"/>
      <c r="G4" s="951"/>
      <c r="H4" s="951"/>
    </row>
    <row r="5" spans="1:8" x14ac:dyDescent="0.25">
      <c r="A5" s="1128" t="str">
        <f>'POSTOS e RESUMO'!A8:U8</f>
        <v>EMPRESA</v>
      </c>
      <c r="B5" s="1129"/>
      <c r="C5" s="1129"/>
      <c r="D5" s="1129"/>
      <c r="E5" s="1129"/>
      <c r="F5" s="1129"/>
      <c r="G5" s="1129"/>
      <c r="H5" s="1130"/>
    </row>
    <row r="6" spans="1:8" x14ac:dyDescent="0.25">
      <c r="A6" s="1122" t="str">
        <f>'POSTOS e RESUMO'!A9:U9</f>
        <v>CNPJ</v>
      </c>
      <c r="B6" s="1123"/>
      <c r="C6" s="1123"/>
      <c r="D6" s="1123"/>
      <c r="E6" s="1123"/>
      <c r="F6" s="1123"/>
      <c r="G6" s="1123"/>
      <c r="H6" s="1124"/>
    </row>
    <row r="7" spans="1:8" ht="15.75" thickBot="1" x14ac:dyDescent="0.3">
      <c r="A7" s="29"/>
      <c r="B7" s="29"/>
      <c r="C7" s="29"/>
      <c r="D7" s="30"/>
      <c r="E7" s="29"/>
      <c r="F7" s="29"/>
      <c r="G7" s="29"/>
      <c r="H7" s="29"/>
    </row>
    <row r="8" spans="1:8" ht="15.75" thickBot="1" x14ac:dyDescent="0.3">
      <c r="A8" s="1001" t="s">
        <v>113</v>
      </c>
      <c r="B8" s="1112"/>
      <c r="C8" s="1112"/>
      <c r="D8" s="1112"/>
      <c r="E8" s="1112"/>
      <c r="F8" s="1112"/>
      <c r="G8" s="1112"/>
      <c r="H8" s="1113"/>
    </row>
    <row r="9" spans="1:8" x14ac:dyDescent="0.25">
      <c r="A9" s="29"/>
      <c r="B9" s="31"/>
      <c r="C9" s="31"/>
      <c r="D9" s="30"/>
      <c r="E9" s="29"/>
      <c r="F9" s="29"/>
      <c r="G9" s="29"/>
      <c r="H9" s="32"/>
    </row>
    <row r="10" spans="1:8" ht="25.5" x14ac:dyDescent="0.25">
      <c r="A10" s="30"/>
      <c r="B10" s="33" t="s">
        <v>114</v>
      </c>
      <c r="C10" s="34" t="s">
        <v>115</v>
      </c>
      <c r="D10" s="34" t="s">
        <v>116</v>
      </c>
      <c r="E10" s="35" t="s">
        <v>117</v>
      </c>
      <c r="F10" s="36" t="s">
        <v>118</v>
      </c>
      <c r="G10" s="37" t="s">
        <v>119</v>
      </c>
      <c r="H10" s="28"/>
    </row>
    <row r="11" spans="1:8" x14ac:dyDescent="0.25">
      <c r="A11" s="29"/>
      <c r="B11" s="38" t="s">
        <v>120</v>
      </c>
      <c r="C11" s="39">
        <v>0</v>
      </c>
      <c r="D11" s="40">
        <v>0</v>
      </c>
      <c r="E11" s="41">
        <f>IFERROR(C11*D11*21,0)</f>
        <v>0</v>
      </c>
      <c r="F11" s="41">
        <f>IF(C11="Passe Livre",0,IF(C11&gt;0,(6%*('POSTOS e RESUMO'!$D$20-'POSTOS e RESUMO'!$E$20)),0))</f>
        <v>0</v>
      </c>
      <c r="G11" s="41">
        <f>MAX(0,E11-F11)</f>
        <v>0</v>
      </c>
      <c r="H11" s="42"/>
    </row>
    <row r="12" spans="1:8" x14ac:dyDescent="0.25">
      <c r="A12" s="29"/>
      <c r="B12" s="43" t="s">
        <v>121</v>
      </c>
      <c r="C12" s="39">
        <v>6</v>
      </c>
      <c r="D12" s="40">
        <v>2</v>
      </c>
      <c r="E12" s="44">
        <f t="shared" ref="E12:E42" si="0">IFERROR(C12*D12*21,0)</f>
        <v>252</v>
      </c>
      <c r="F12" s="44">
        <f>IF(C12="Passe Livre",0,IF(C12&gt;0,(6%*('POSTOS e RESUMO'!$D$20-'POSTOS e RESUMO'!$E$20)),0))</f>
        <v>38.945399999999999</v>
      </c>
      <c r="G12" s="44">
        <f t="shared" ref="G12:G42" si="1">MAX(0,E12-F12)</f>
        <v>213.05459999999999</v>
      </c>
      <c r="H12" s="42"/>
    </row>
    <row r="13" spans="1:8" x14ac:dyDescent="0.25">
      <c r="A13" s="29"/>
      <c r="B13" s="38" t="s">
        <v>122</v>
      </c>
      <c r="C13" s="39">
        <v>0</v>
      </c>
      <c r="D13" s="40">
        <v>0</v>
      </c>
      <c r="E13" s="41">
        <f t="shared" si="0"/>
        <v>0</v>
      </c>
      <c r="F13" s="41">
        <f>IF(C13="Passe Livre",0,IF(C13&gt;0,(6%*('POSTOS e RESUMO'!$D$20-'POSTOS e RESUMO'!$E$20)),0))</f>
        <v>0</v>
      </c>
      <c r="G13" s="41">
        <f t="shared" si="1"/>
        <v>0</v>
      </c>
      <c r="H13" s="42"/>
    </row>
    <row r="14" spans="1:8" x14ac:dyDescent="0.25">
      <c r="A14" s="29"/>
      <c r="B14" s="45" t="s">
        <v>123</v>
      </c>
      <c r="C14" s="46">
        <v>4.8099999999999996</v>
      </c>
      <c r="D14" s="40">
        <v>2</v>
      </c>
      <c r="E14" s="47">
        <f t="shared" si="0"/>
        <v>202.01999999999998</v>
      </c>
      <c r="F14" s="47">
        <f>IF(C14="Passe Livre",0,IF(C14&gt;0,(6%*('POSTOS e RESUMO'!$D$20-'POSTOS e RESUMO'!$E$20)),0))</f>
        <v>38.945399999999999</v>
      </c>
      <c r="G14" s="47">
        <f t="shared" si="1"/>
        <v>163.07459999999998</v>
      </c>
      <c r="H14" s="42"/>
    </row>
    <row r="15" spans="1:8" x14ac:dyDescent="0.25">
      <c r="A15" s="29"/>
      <c r="B15" s="38" t="s">
        <v>124</v>
      </c>
      <c r="C15" s="39">
        <v>0</v>
      </c>
      <c r="D15" s="40">
        <v>0</v>
      </c>
      <c r="E15" s="41">
        <f t="shared" si="0"/>
        <v>0</v>
      </c>
      <c r="F15" s="41">
        <f>IF(C15="Passe Livre",0,IF(C15&gt;0,(6%*('POSTOS e RESUMO'!$D$20-'POSTOS e RESUMO'!$E$20)),0))</f>
        <v>0</v>
      </c>
      <c r="G15" s="41">
        <f t="shared" si="1"/>
        <v>0</v>
      </c>
      <c r="H15" s="42"/>
    </row>
    <row r="16" spans="1:8" x14ac:dyDescent="0.25">
      <c r="A16" s="29"/>
      <c r="B16" s="45" t="s">
        <v>125</v>
      </c>
      <c r="C16" s="46" t="s">
        <v>350</v>
      </c>
      <c r="D16" s="40">
        <v>2</v>
      </c>
      <c r="E16" s="47">
        <f t="shared" si="0"/>
        <v>0</v>
      </c>
      <c r="F16" s="47">
        <f>IF(C16="Passe Livre",0,IF(C16&gt;0,(6%*('POSTOS e RESUMO'!$D$20-'POSTOS e RESUMO'!$E$20)),0))</f>
        <v>0</v>
      </c>
      <c r="G16" s="47">
        <f t="shared" si="1"/>
        <v>0</v>
      </c>
      <c r="H16" s="42"/>
    </row>
    <row r="17" spans="1:8" x14ac:dyDescent="0.25">
      <c r="A17" s="29"/>
      <c r="B17" s="38" t="s">
        <v>126</v>
      </c>
      <c r="C17" s="39">
        <v>0</v>
      </c>
      <c r="D17" s="40">
        <v>0</v>
      </c>
      <c r="E17" s="41">
        <f t="shared" si="0"/>
        <v>0</v>
      </c>
      <c r="F17" s="41">
        <f>IF(C17="Passe Livre",0,IF(C17&gt;0,(6%*('POSTOS e RESUMO'!$D$20-'POSTOS e RESUMO'!$E$20)),0))</f>
        <v>0</v>
      </c>
      <c r="G17" s="41">
        <f t="shared" si="1"/>
        <v>0</v>
      </c>
      <c r="H17" s="42"/>
    </row>
    <row r="18" spans="1:8" x14ac:dyDescent="0.25">
      <c r="A18" s="29"/>
      <c r="B18" s="45" t="s">
        <v>127</v>
      </c>
      <c r="C18" s="39">
        <v>0</v>
      </c>
      <c r="D18" s="40">
        <v>0</v>
      </c>
      <c r="E18" s="47">
        <f t="shared" si="0"/>
        <v>0</v>
      </c>
      <c r="F18" s="47">
        <f>IF(C18="Passe Livre",0,IF(C18&gt;0,(6%*('POSTOS e RESUMO'!$D$20-'POSTOS e RESUMO'!$E$20)),0))</f>
        <v>0</v>
      </c>
      <c r="G18" s="47">
        <f t="shared" si="1"/>
        <v>0</v>
      </c>
      <c r="H18" s="42"/>
    </row>
    <row r="19" spans="1:8" x14ac:dyDescent="0.25">
      <c r="A19" s="29"/>
      <c r="B19" s="38" t="s">
        <v>128</v>
      </c>
      <c r="C19" s="46">
        <v>8</v>
      </c>
      <c r="D19" s="40">
        <v>2</v>
      </c>
      <c r="E19" s="41">
        <f t="shared" si="0"/>
        <v>336</v>
      </c>
      <c r="F19" s="41">
        <f>IF(C19="Passe Livre",0,IF(C19&gt;0,(6%*('POSTOS e RESUMO'!$D$20-'POSTOS e RESUMO'!$E$20)),0))</f>
        <v>38.945399999999999</v>
      </c>
      <c r="G19" s="41">
        <f t="shared" si="1"/>
        <v>297.05459999999999</v>
      </c>
      <c r="H19" s="42"/>
    </row>
    <row r="20" spans="1:8" x14ac:dyDescent="0.25">
      <c r="A20" s="29"/>
      <c r="B20" s="45" t="s">
        <v>129</v>
      </c>
      <c r="C20" s="39">
        <v>0</v>
      </c>
      <c r="D20" s="40">
        <v>0</v>
      </c>
      <c r="E20" s="47">
        <f t="shared" si="0"/>
        <v>0</v>
      </c>
      <c r="F20" s="47">
        <f>IF(C20="Passe Livre",0,IF(C20&gt;0,(6%*('POSTOS e RESUMO'!$D$20-'POSTOS e RESUMO'!$E$20)),0))</f>
        <v>0</v>
      </c>
      <c r="G20" s="47">
        <f t="shared" si="1"/>
        <v>0</v>
      </c>
      <c r="H20" s="42"/>
    </row>
    <row r="21" spans="1:8" x14ac:dyDescent="0.25">
      <c r="A21" s="29"/>
      <c r="B21" s="38" t="s">
        <v>130</v>
      </c>
      <c r="C21" s="39">
        <v>0</v>
      </c>
      <c r="D21" s="40">
        <v>0</v>
      </c>
      <c r="E21" s="41">
        <f t="shared" si="0"/>
        <v>0</v>
      </c>
      <c r="F21" s="41">
        <f>IF(C21="Passe Livre",0,IF(C21&gt;0,(6%*('POSTOS e RESUMO'!$D$20-'POSTOS e RESUMO'!$E$20)),0))</f>
        <v>0</v>
      </c>
      <c r="G21" s="41">
        <f t="shared" si="1"/>
        <v>0</v>
      </c>
      <c r="H21" s="42"/>
    </row>
    <row r="22" spans="1:8" x14ac:dyDescent="0.25">
      <c r="A22" s="29"/>
      <c r="B22" s="45" t="s">
        <v>131</v>
      </c>
      <c r="C22" s="39">
        <v>0</v>
      </c>
      <c r="D22" s="40">
        <v>0</v>
      </c>
      <c r="E22" s="47">
        <f t="shared" si="0"/>
        <v>0</v>
      </c>
      <c r="F22" s="47">
        <f>IF(C22="Passe Livre",0,IF(C22&gt;0,(6%*('POSTOS e RESUMO'!$D$20-'POSTOS e RESUMO'!$E$20)),0))</f>
        <v>0</v>
      </c>
      <c r="G22" s="47">
        <f t="shared" si="1"/>
        <v>0</v>
      </c>
      <c r="H22" s="42"/>
    </row>
    <row r="23" spans="1:8" x14ac:dyDescent="0.25">
      <c r="A23" s="29"/>
      <c r="B23" s="38" t="s">
        <v>132</v>
      </c>
      <c r="C23" s="39">
        <v>0</v>
      </c>
      <c r="D23" s="40">
        <v>0</v>
      </c>
      <c r="E23" s="41">
        <f t="shared" si="0"/>
        <v>0</v>
      </c>
      <c r="F23" s="41">
        <f>IF(C23="Passe Livre",0,IF(C23&gt;0,(6%*('POSTOS e RESUMO'!$D$20-'POSTOS e RESUMO'!$E$20)),0))</f>
        <v>0</v>
      </c>
      <c r="G23" s="41">
        <f t="shared" si="1"/>
        <v>0</v>
      </c>
      <c r="H23" s="42"/>
    </row>
    <row r="24" spans="1:8" x14ac:dyDescent="0.25">
      <c r="A24" s="29"/>
      <c r="B24" s="45" t="s">
        <v>133</v>
      </c>
      <c r="C24" s="46" t="s">
        <v>350</v>
      </c>
      <c r="D24" s="40">
        <v>2</v>
      </c>
      <c r="E24" s="47">
        <f t="shared" si="0"/>
        <v>0</v>
      </c>
      <c r="F24" s="47">
        <f>IF(C24="Passe Livre",0,IF(C24&gt;0,(6%*('POSTOS e RESUMO'!$D$20-'POSTOS e RESUMO'!$E$20)),0))</f>
        <v>0</v>
      </c>
      <c r="G24" s="47">
        <f t="shared" si="1"/>
        <v>0</v>
      </c>
      <c r="H24" s="42"/>
    </row>
    <row r="25" spans="1:8" x14ac:dyDescent="0.25">
      <c r="A25" s="29"/>
      <c r="B25" s="38" t="s">
        <v>134</v>
      </c>
      <c r="C25" s="39">
        <v>0</v>
      </c>
      <c r="D25" s="40">
        <v>0</v>
      </c>
      <c r="E25" s="41">
        <f t="shared" si="0"/>
        <v>0</v>
      </c>
      <c r="F25" s="41">
        <f>IF(C25="Passe Livre",0,IF(C25&gt;0,(6%*('POSTOS e RESUMO'!$D$20-'POSTOS e RESUMO'!$E$20)),0))</f>
        <v>0</v>
      </c>
      <c r="G25" s="41">
        <f t="shared" si="1"/>
        <v>0</v>
      </c>
      <c r="H25" s="42"/>
    </row>
    <row r="26" spans="1:8" x14ac:dyDescent="0.25">
      <c r="A26" s="29"/>
      <c r="B26" s="45" t="s">
        <v>135</v>
      </c>
      <c r="C26" s="39">
        <v>0</v>
      </c>
      <c r="D26" s="40">
        <v>0</v>
      </c>
      <c r="E26" s="47">
        <f t="shared" si="0"/>
        <v>0</v>
      </c>
      <c r="F26" s="47">
        <f>IF(C26="Passe Livre",0,IF(C26&gt;0,(6%*('POSTOS e RESUMO'!$D$20-'POSTOS e RESUMO'!$E$20)),0))</f>
        <v>0</v>
      </c>
      <c r="G26" s="47">
        <f t="shared" si="1"/>
        <v>0</v>
      </c>
      <c r="H26" s="42"/>
    </row>
    <row r="27" spans="1:8" x14ac:dyDescent="0.25">
      <c r="A27" s="29"/>
      <c r="B27" s="48" t="s">
        <v>136</v>
      </c>
      <c r="C27" s="39">
        <v>0</v>
      </c>
      <c r="D27" s="40">
        <v>0</v>
      </c>
      <c r="E27" s="41">
        <f t="shared" si="0"/>
        <v>0</v>
      </c>
      <c r="F27" s="41">
        <f>IF(C27="Passe Livre",0,IF(C27&gt;0,(6%*('POSTOS e RESUMO'!$D$20-'POSTOS e RESUMO'!$E$20)),0))</f>
        <v>0</v>
      </c>
      <c r="G27" s="41">
        <f t="shared" si="1"/>
        <v>0</v>
      </c>
      <c r="H27" s="42"/>
    </row>
    <row r="28" spans="1:8" x14ac:dyDescent="0.25">
      <c r="A28" s="29"/>
      <c r="B28" s="45" t="s">
        <v>137</v>
      </c>
      <c r="C28" s="46">
        <v>6.05</v>
      </c>
      <c r="D28" s="40">
        <v>2</v>
      </c>
      <c r="E28" s="47">
        <f t="shared" si="0"/>
        <v>254.1</v>
      </c>
      <c r="F28" s="47">
        <f>IF(C28="Passe Livre",0,IF(C28&gt;0,(6%*('POSTOS e RESUMO'!$D$20-'POSTOS e RESUMO'!$E$20)),0))</f>
        <v>38.945399999999999</v>
      </c>
      <c r="G28" s="47">
        <f t="shared" si="1"/>
        <v>215.15459999999999</v>
      </c>
      <c r="H28" s="42"/>
    </row>
    <row r="29" spans="1:8" x14ac:dyDescent="0.25">
      <c r="A29" s="29"/>
      <c r="B29" s="38" t="s">
        <v>138</v>
      </c>
      <c r="C29" s="46">
        <v>4.75</v>
      </c>
      <c r="D29" s="40">
        <v>2</v>
      </c>
      <c r="E29" s="41">
        <f t="shared" si="0"/>
        <v>199.5</v>
      </c>
      <c r="F29" s="41">
        <f>IF(C29="Passe Livre",0,IF(C29&gt;0,(6%*('POSTOS e RESUMO'!$D$20-'POSTOS e RESUMO'!$E$20)),0))</f>
        <v>38.945399999999999</v>
      </c>
      <c r="G29" s="41">
        <f t="shared" si="1"/>
        <v>160.55459999999999</v>
      </c>
      <c r="H29" s="42"/>
    </row>
    <row r="30" spans="1:8" x14ac:dyDescent="0.25">
      <c r="A30" s="29"/>
      <c r="B30" s="45" t="s">
        <v>139</v>
      </c>
      <c r="C30" s="39">
        <v>0</v>
      </c>
      <c r="D30" s="40">
        <v>0</v>
      </c>
      <c r="E30" s="47">
        <f t="shared" si="0"/>
        <v>0</v>
      </c>
      <c r="F30" s="47">
        <f>IF(C30="Passe Livre",0,IF(C30&gt;0,(6%*('POSTOS e RESUMO'!$D$20-'POSTOS e RESUMO'!$E$20)),0))</f>
        <v>0</v>
      </c>
      <c r="G30" s="47">
        <f t="shared" si="1"/>
        <v>0</v>
      </c>
      <c r="H30" s="42"/>
    </row>
    <row r="31" spans="1:8" x14ac:dyDescent="0.25">
      <c r="A31" s="29"/>
      <c r="B31" s="38" t="s">
        <v>140</v>
      </c>
      <c r="C31" s="39">
        <v>0</v>
      </c>
      <c r="D31" s="40">
        <v>0</v>
      </c>
      <c r="E31" s="41">
        <f t="shared" si="0"/>
        <v>0</v>
      </c>
      <c r="F31" s="41">
        <f>IF(C31="Passe Livre",0,IF(C31&gt;0,(6%*('POSTOS e RESUMO'!$D$20-'POSTOS e RESUMO'!$E$20)),0))</f>
        <v>0</v>
      </c>
      <c r="G31" s="41">
        <f t="shared" si="1"/>
        <v>0</v>
      </c>
      <c r="H31" s="42"/>
    </row>
    <row r="32" spans="1:8" x14ac:dyDescent="0.25">
      <c r="A32" s="29"/>
      <c r="B32" s="45" t="s">
        <v>141</v>
      </c>
      <c r="C32" s="39">
        <v>0</v>
      </c>
      <c r="D32" s="40">
        <v>0</v>
      </c>
      <c r="E32" s="47">
        <f t="shared" si="0"/>
        <v>0</v>
      </c>
      <c r="F32" s="47">
        <f>IF(C32="Passe Livre",0,IF(C32&gt;0,(6%*('POSTOS e RESUMO'!$D$20-'POSTOS e RESUMO'!$E$20)),0))</f>
        <v>0</v>
      </c>
      <c r="G32" s="47">
        <f t="shared" si="1"/>
        <v>0</v>
      </c>
      <c r="H32" s="42"/>
    </row>
    <row r="33" spans="1:8" x14ac:dyDescent="0.25">
      <c r="A33" s="29"/>
      <c r="B33" s="38" t="s">
        <v>142</v>
      </c>
      <c r="C33" s="39">
        <v>0</v>
      </c>
      <c r="D33" s="40">
        <v>0</v>
      </c>
      <c r="E33" s="41">
        <f t="shared" si="0"/>
        <v>0</v>
      </c>
      <c r="F33" s="41">
        <f>IF(C33="Passe Livre",0,IF(C33&gt;0,(6%*('POSTOS e RESUMO'!$D$20-'POSTOS e RESUMO'!$E$20)),0))</f>
        <v>0</v>
      </c>
      <c r="G33" s="41">
        <f t="shared" si="1"/>
        <v>0</v>
      </c>
      <c r="H33" s="42"/>
    </row>
    <row r="34" spans="1:8" x14ac:dyDescent="0.25">
      <c r="A34" s="29"/>
      <c r="B34" s="45" t="s">
        <v>143</v>
      </c>
      <c r="C34" s="39">
        <v>0</v>
      </c>
      <c r="D34" s="40">
        <v>0</v>
      </c>
      <c r="E34" s="47">
        <f t="shared" si="0"/>
        <v>0</v>
      </c>
      <c r="F34" s="47">
        <f>IF(C34="Passe Livre",0,IF(C34&gt;0,(6%*('POSTOS e RESUMO'!$D$20-'POSTOS e RESUMO'!$E$20)),0))</f>
        <v>0</v>
      </c>
      <c r="G34" s="47">
        <f t="shared" si="1"/>
        <v>0</v>
      </c>
      <c r="H34" s="42"/>
    </row>
    <row r="35" spans="1:8" x14ac:dyDescent="0.25">
      <c r="A35" s="32"/>
      <c r="B35" s="48" t="s">
        <v>144</v>
      </c>
      <c r="C35" s="39">
        <v>0</v>
      </c>
      <c r="D35" s="40">
        <v>0</v>
      </c>
      <c r="E35" s="41">
        <f t="shared" si="0"/>
        <v>0</v>
      </c>
      <c r="F35" s="41">
        <f>IF(C35="Passe Livre",0,IF(C35&gt;0,(6%*('POSTOS e RESUMO'!$D$20-'POSTOS e RESUMO'!$E$20)),0))</f>
        <v>0</v>
      </c>
      <c r="G35" s="41">
        <f t="shared" si="1"/>
        <v>0</v>
      </c>
      <c r="H35" s="42"/>
    </row>
    <row r="36" spans="1:8" x14ac:dyDescent="0.25">
      <c r="A36" s="32"/>
      <c r="B36" s="45" t="s">
        <v>145</v>
      </c>
      <c r="C36" s="39">
        <v>0</v>
      </c>
      <c r="D36" s="40">
        <v>0</v>
      </c>
      <c r="E36" s="47">
        <f t="shared" si="0"/>
        <v>0</v>
      </c>
      <c r="F36" s="47">
        <f>IF(C36="Passe Livre",0,IF(C36&gt;0,(6%*('POSTOS e RESUMO'!$D$20-'POSTOS e RESUMO'!$E$20)),0))</f>
        <v>0</v>
      </c>
      <c r="G36" s="47">
        <f t="shared" si="1"/>
        <v>0</v>
      </c>
      <c r="H36" s="42"/>
    </row>
    <row r="37" spans="1:8" x14ac:dyDescent="0.25">
      <c r="A37" s="32"/>
      <c r="B37" s="38" t="s">
        <v>146</v>
      </c>
      <c r="C37" s="39">
        <v>0</v>
      </c>
      <c r="D37" s="40">
        <v>0</v>
      </c>
      <c r="E37" s="41">
        <f t="shared" si="0"/>
        <v>0</v>
      </c>
      <c r="F37" s="41">
        <f>IF(C37="Passe Livre",0,IF(C37&gt;0,(6%*('POSTOS e RESUMO'!$D$20-'POSTOS e RESUMO'!$E$20)),0))</f>
        <v>0</v>
      </c>
      <c r="G37" s="41">
        <f t="shared" si="1"/>
        <v>0</v>
      </c>
      <c r="H37" s="42"/>
    </row>
    <row r="38" spans="1:8" x14ac:dyDescent="0.25">
      <c r="A38" s="32"/>
      <c r="B38" s="45" t="s">
        <v>147</v>
      </c>
      <c r="C38" s="39">
        <v>0</v>
      </c>
      <c r="D38" s="40">
        <v>0</v>
      </c>
      <c r="E38" s="47">
        <f t="shared" si="0"/>
        <v>0</v>
      </c>
      <c r="F38" s="47">
        <f>IF(C38="Passe Livre",0,IF(C38&gt;0,(6%*('POSTOS e RESUMO'!$D$20-'POSTOS e RESUMO'!$E$20)),0))</f>
        <v>0</v>
      </c>
      <c r="G38" s="47">
        <f t="shared" si="1"/>
        <v>0</v>
      </c>
      <c r="H38" s="42"/>
    </row>
    <row r="39" spans="1:8" x14ac:dyDescent="0.25">
      <c r="A39" s="29"/>
      <c r="B39" s="38" t="s">
        <v>148</v>
      </c>
      <c r="C39" s="46">
        <v>5.7</v>
      </c>
      <c r="D39" s="40">
        <v>2</v>
      </c>
      <c r="E39" s="41">
        <f t="shared" si="0"/>
        <v>239.4</v>
      </c>
      <c r="F39" s="41">
        <f>IF(C39="Passe Livre",0,IF(C39&gt;0,(6%*('POSTOS e RESUMO'!$D$20-'POSTOS e RESUMO'!$E$20)),0))</f>
        <v>38.945399999999999</v>
      </c>
      <c r="G39" s="41">
        <f t="shared" si="1"/>
        <v>200.4546</v>
      </c>
      <c r="H39" s="42"/>
    </row>
    <row r="40" spans="1:8" x14ac:dyDescent="0.25">
      <c r="A40" s="29"/>
      <c r="B40" s="45" t="s">
        <v>149</v>
      </c>
      <c r="C40" s="46">
        <v>3.6</v>
      </c>
      <c r="D40" s="40">
        <v>2</v>
      </c>
      <c r="E40" s="47">
        <f t="shared" si="0"/>
        <v>151.20000000000002</v>
      </c>
      <c r="F40" s="47">
        <f>IF(C40="Passe Livre",0,IF(C40&gt;0,(6%*('POSTOS e RESUMO'!$D$20-'POSTOS e RESUMO'!$E$20)),0))</f>
        <v>38.945399999999999</v>
      </c>
      <c r="G40" s="47">
        <f t="shared" si="1"/>
        <v>112.25460000000001</v>
      </c>
      <c r="H40" s="42"/>
    </row>
    <row r="41" spans="1:8" x14ac:dyDescent="0.25">
      <c r="A41" s="29"/>
      <c r="B41" s="38" t="s">
        <v>150</v>
      </c>
      <c r="C41" s="39">
        <v>0</v>
      </c>
      <c r="D41" s="40">
        <v>0</v>
      </c>
      <c r="E41" s="41">
        <f t="shared" si="0"/>
        <v>0</v>
      </c>
      <c r="F41" s="41">
        <f>IF(C41="Passe Livre",0,IF(C41&gt;0,(6%*('POSTOS e RESUMO'!$D$20-'POSTOS e RESUMO'!$E$20)),0))</f>
        <v>0</v>
      </c>
      <c r="G41" s="41">
        <f t="shared" si="1"/>
        <v>0</v>
      </c>
      <c r="H41" s="42"/>
    </row>
    <row r="42" spans="1:8" x14ac:dyDescent="0.25">
      <c r="A42" s="29"/>
      <c r="B42" s="45" t="s">
        <v>151</v>
      </c>
      <c r="C42" s="46">
        <v>4</v>
      </c>
      <c r="D42" s="40">
        <v>2</v>
      </c>
      <c r="E42" s="47">
        <f t="shared" si="0"/>
        <v>168</v>
      </c>
      <c r="F42" s="47">
        <f>IF(C42="Passe Livre",0,IF(C42&gt;0,(6%*('POSTOS e RESUMO'!$D$20-'POSTOS e RESUMO'!$E$20)),0))</f>
        <v>38.945399999999999</v>
      </c>
      <c r="G42" s="47">
        <f t="shared" si="1"/>
        <v>129.05459999999999</v>
      </c>
      <c r="H42" s="42"/>
    </row>
    <row r="43" spans="1:8" ht="25.5" x14ac:dyDescent="0.25">
      <c r="A43" s="32"/>
      <c r="B43" s="49"/>
      <c r="C43" s="34" t="s">
        <v>152</v>
      </c>
      <c r="D43" s="50"/>
      <c r="E43" s="35" t="s">
        <v>153</v>
      </c>
      <c r="F43" s="51"/>
      <c r="G43" s="37" t="s">
        <v>154</v>
      </c>
      <c r="H43" s="32"/>
    </row>
    <row r="44" spans="1:8" x14ac:dyDescent="0.25">
      <c r="A44" s="32"/>
      <c r="B44" s="52" t="s">
        <v>155</v>
      </c>
      <c r="C44" s="53">
        <f>IFERROR(AVERAGE(C11:C42),0)</f>
        <v>1.4303333333333335</v>
      </c>
      <c r="D44" s="54"/>
      <c r="E44" s="55">
        <f>AVERAGE(E11:E42)</f>
        <v>56.319375000000001</v>
      </c>
      <c r="F44" s="56"/>
      <c r="G44" s="57">
        <f>AVERAGE(G11:G42)</f>
        <v>46.583024999999999</v>
      </c>
      <c r="H44" s="32"/>
    </row>
    <row r="45" spans="1:8" x14ac:dyDescent="0.25">
      <c r="A45" s="32"/>
      <c r="B45" s="49"/>
      <c r="C45" s="49"/>
      <c r="D45" s="58"/>
      <c r="E45" s="59"/>
      <c r="F45" s="59"/>
      <c r="G45" s="59"/>
      <c r="H45" s="32"/>
    </row>
    <row r="46" spans="1:8" ht="25.5" x14ac:dyDescent="0.25">
      <c r="A46" s="42"/>
      <c r="B46" s="562" t="s">
        <v>156</v>
      </c>
      <c r="C46" s="35" t="s">
        <v>115</v>
      </c>
      <c r="D46" s="34" t="s">
        <v>116</v>
      </c>
      <c r="E46" s="35" t="s">
        <v>117</v>
      </c>
      <c r="F46" s="36" t="s">
        <v>118</v>
      </c>
      <c r="G46" s="37" t="s">
        <v>154</v>
      </c>
      <c r="H46" s="42"/>
    </row>
    <row r="47" spans="1:8" x14ac:dyDescent="0.25">
      <c r="A47" s="42"/>
      <c r="B47" s="563" t="s">
        <v>157</v>
      </c>
      <c r="C47" s="564">
        <v>5.0999999999999996</v>
      </c>
      <c r="D47" s="566">
        <v>2</v>
      </c>
      <c r="E47" s="61">
        <f>C47*D49*21</f>
        <v>257.03999999999996</v>
      </c>
      <c r="F47" s="62">
        <f>IF(C47="Passe Livre",0,IF(C47&gt;0,(6%*('POSTOS e RESUMO'!$D$21+'POSTOS e RESUMO'!$E$21)),0))</f>
        <v>78.272999999999996</v>
      </c>
      <c r="G47" s="63">
        <f>E47-F47</f>
        <v>178.76699999999997</v>
      </c>
      <c r="H47" s="42"/>
    </row>
    <row r="48" spans="1:8" ht="25.5" x14ac:dyDescent="0.25">
      <c r="A48" s="42"/>
      <c r="B48" s="560"/>
      <c r="C48" s="561"/>
      <c r="D48" s="35" t="s">
        <v>413</v>
      </c>
      <c r="E48" s="567"/>
      <c r="F48" s="568"/>
      <c r="G48" s="569"/>
      <c r="H48" s="42"/>
    </row>
    <row r="49" spans="1:8" x14ac:dyDescent="0.25">
      <c r="A49" s="42"/>
      <c r="B49" s="560"/>
      <c r="C49" s="561"/>
      <c r="D49" s="565">
        <f>((D47*5)+2)/5</f>
        <v>2.4</v>
      </c>
      <c r="E49" s="570"/>
      <c r="F49" s="571"/>
      <c r="G49" s="572"/>
      <c r="H49" s="42"/>
    </row>
    <row r="50" spans="1:8" ht="30" customHeight="1" x14ac:dyDescent="0.25">
      <c r="A50" s="64"/>
      <c r="B50" s="1114" t="s">
        <v>158</v>
      </c>
      <c r="C50" s="1115"/>
      <c r="D50" s="1115"/>
      <c r="E50" s="1115"/>
      <c r="F50" s="1115"/>
      <c r="G50" s="1116"/>
      <c r="H50" s="64"/>
    </row>
    <row r="51" spans="1:8" x14ac:dyDescent="0.25">
      <c r="A51" s="42"/>
      <c r="B51" s="28"/>
      <c r="C51" s="28"/>
      <c r="D51" s="28"/>
      <c r="E51" s="28"/>
      <c r="F51" s="28"/>
      <c r="G51" s="28"/>
      <c r="H51" s="42"/>
    </row>
    <row r="52" spans="1:8" ht="25.5" x14ac:dyDescent="0.25">
      <c r="A52" s="42"/>
      <c r="B52" s="60" t="s">
        <v>159</v>
      </c>
      <c r="C52" s="34" t="s">
        <v>115</v>
      </c>
      <c r="D52" s="34" t="s">
        <v>116</v>
      </c>
      <c r="E52" s="35" t="s">
        <v>117</v>
      </c>
      <c r="F52" s="36" t="s">
        <v>118</v>
      </c>
      <c r="G52" s="37" t="s">
        <v>154</v>
      </c>
      <c r="H52" s="42"/>
    </row>
    <row r="53" spans="1:8" ht="25.5" x14ac:dyDescent="0.25">
      <c r="A53" s="42"/>
      <c r="B53" s="65" t="s">
        <v>160</v>
      </c>
      <c r="C53" s="66">
        <v>4.8</v>
      </c>
      <c r="D53" s="67">
        <v>2</v>
      </c>
      <c r="E53" s="68">
        <f>C53*D53*21</f>
        <v>201.6</v>
      </c>
      <c r="F53" s="69">
        <f>IF(C53="Passe Livre",0,IF(C53&gt;0,(6%*('POSTOS e RESUMO'!$D$22+'POSTOS e RESUMO'!$E$22)),0))</f>
        <v>98.399999999999991</v>
      </c>
      <c r="G53" s="57">
        <f>E53-F53</f>
        <v>103.2</v>
      </c>
      <c r="H53" s="42"/>
    </row>
    <row r="54" spans="1:8" x14ac:dyDescent="0.25">
      <c r="A54" s="42"/>
      <c r="B54" s="42"/>
      <c r="C54" s="42"/>
      <c r="D54" s="28"/>
      <c r="E54" s="42"/>
      <c r="F54" s="42"/>
      <c r="G54" s="42"/>
      <c r="H54" s="42"/>
    </row>
    <row r="55" spans="1:8" ht="15.75" thickBot="1" x14ac:dyDescent="0.3">
      <c r="A55" s="70" t="s">
        <v>161</v>
      </c>
      <c r="B55" s="71"/>
      <c r="C55" s="71"/>
      <c r="D55" s="72"/>
      <c r="E55" s="71"/>
      <c r="F55" s="71"/>
      <c r="G55" s="71"/>
      <c r="H55" s="71"/>
    </row>
    <row r="56" spans="1:8" ht="45" customHeight="1" thickTop="1" x14ac:dyDescent="0.25">
      <c r="A56" s="1117" t="s">
        <v>351</v>
      </c>
      <c r="B56" s="934"/>
      <c r="C56" s="934"/>
      <c r="D56" s="934"/>
      <c r="E56" s="934"/>
      <c r="F56" s="934"/>
      <c r="G56" s="934"/>
      <c r="H56" s="934"/>
    </row>
    <row r="57" spans="1:8" ht="15" customHeight="1" x14ac:dyDescent="0.25">
      <c r="A57" s="1118" t="s">
        <v>162</v>
      </c>
      <c r="B57" s="1118"/>
      <c r="C57" s="1118"/>
      <c r="D57" s="1118"/>
      <c r="E57" s="27"/>
      <c r="F57" s="1119" t="s">
        <v>164</v>
      </c>
      <c r="G57" s="1120"/>
      <c r="H57" s="1121"/>
    </row>
  </sheetData>
  <sheetProtection algorithmName="SHA-512" hashValue="ltdZuE03IGgYm+rXZcWm4JgYCOCsSZyX2Z3PAJ0SVeBmapXHbFLRd9LklsZuM3rLE1cemmN0cpZ0xUB4GmBsSA==" saltValue="iTUrD0dpUns+cCtU0QRx8Q==" spinCount="100000" sheet="1" objects="1" scenarios="1" selectLockedCells="1"/>
  <mergeCells count="11">
    <mergeCell ref="A6:H6"/>
    <mergeCell ref="A1:H1"/>
    <mergeCell ref="A2:H2"/>
    <mergeCell ref="A3:H3"/>
    <mergeCell ref="A4:H4"/>
    <mergeCell ref="A5:H5"/>
    <mergeCell ref="A8:H8"/>
    <mergeCell ref="B50:G50"/>
    <mergeCell ref="A56:H56"/>
    <mergeCell ref="A57:D57"/>
    <mergeCell ref="F57:H57"/>
  </mergeCells>
  <printOptions horizontalCentered="1"/>
  <pageMargins left="0.78740157480314965" right="0.78740157480314965" top="0.78740157480314965" bottom="0.78740157480314965" header="0.31496062992125984" footer="0.31496062992125984"/>
  <pageSetup paperSize="9" scale="70" fitToHeight="5" orientation="portrait" r:id="rId1"/>
  <headerFooter>
    <oddHeader>&amp;R&amp;P</oddHeader>
    <oddFooter>&amp;L&amp;9SACCON/CPC/SECAD&amp;C&amp;8Última alteração por KETLYN &amp;D&amp;R&amp;9&amp;A
Página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showGridLines="0" view="pageBreakPreview" zoomScale="90" zoomScaleNormal="100" zoomScaleSheetLayoutView="90" workbookViewId="0">
      <selection sqref="A1:F1"/>
    </sheetView>
  </sheetViews>
  <sheetFormatPr defaultRowHeight="15" x14ac:dyDescent="0.25"/>
  <cols>
    <col min="1" max="1" width="5.7109375" style="401" customWidth="1"/>
    <col min="2" max="2" width="55.140625" style="401" customWidth="1"/>
    <col min="3" max="5" width="15.7109375" style="401" customWidth="1"/>
    <col min="6" max="6" width="17.140625" style="401" customWidth="1"/>
    <col min="7" max="16384" width="9.140625" style="401"/>
  </cols>
  <sheetData>
    <row r="1" spans="1:6" ht="18.75" x14ac:dyDescent="0.3">
      <c r="A1" s="1151" t="str">
        <f>'POSTOS e RESUMO'!A1:U1</f>
        <v>TRIBUNAL REGIONAL ELEITORAL DO PARANÁ</v>
      </c>
      <c r="B1" s="1151"/>
      <c r="C1" s="1151"/>
      <c r="D1" s="1151"/>
      <c r="E1" s="1151"/>
      <c r="F1" s="1151"/>
    </row>
    <row r="2" spans="1:6" ht="15" customHeight="1" x14ac:dyDescent="0.25">
      <c r="A2" s="1152" t="str">
        <f>'POSTOS e RESUMO'!A2:U2</f>
        <v>PLANILHA DE FORMAÇÃO DE CUSTOS E PREÇOS - Estimativa TRE-PR</v>
      </c>
      <c r="B2" s="1152"/>
      <c r="C2" s="1152"/>
      <c r="D2" s="1152"/>
      <c r="E2" s="1152"/>
      <c r="F2" s="1152"/>
    </row>
    <row r="3" spans="1:6" ht="15" customHeight="1" x14ac:dyDescent="0.25">
      <c r="A3" s="1153" t="str">
        <f>'POSTOS e RESUMO'!A3:U3</f>
        <v>Serviços de Limpeza, Copeiragem, Manutenção de Áreas Verdes e Limpeza em Altura - Polo 4 - Maringá e Região</v>
      </c>
      <c r="B3" s="1153"/>
      <c r="C3" s="1153"/>
      <c r="D3" s="1153"/>
      <c r="E3" s="1153"/>
      <c r="F3" s="1153"/>
    </row>
    <row r="4" spans="1:6" x14ac:dyDescent="0.25">
      <c r="A4" s="196"/>
      <c r="B4" s="196"/>
      <c r="C4" s="412"/>
      <c r="D4" s="196"/>
      <c r="E4" s="196"/>
      <c r="F4" s="412"/>
    </row>
    <row r="5" spans="1:6" x14ac:dyDescent="0.25">
      <c r="A5" s="196"/>
      <c r="B5" s="196"/>
      <c r="C5" s="196"/>
      <c r="D5" s="196"/>
      <c r="E5" s="413" t="s">
        <v>163</v>
      </c>
      <c r="F5" s="414" t="str">
        <f>'POSTOS e RESUMO'!U4</f>
        <v>6181/2023</v>
      </c>
    </row>
    <row r="6" spans="1:6" x14ac:dyDescent="0.25">
      <c r="A6" s="1136" t="s">
        <v>164</v>
      </c>
      <c r="B6" s="1137"/>
      <c r="C6" s="415"/>
      <c r="D6" s="196"/>
      <c r="E6" s="415" t="s">
        <v>165</v>
      </c>
      <c r="F6" s="416">
        <f>'POSTOS e RESUMO'!U5</f>
        <v>0</v>
      </c>
    </row>
    <row r="7" spans="1:6" ht="15.75" x14ac:dyDescent="0.25">
      <c r="A7" s="196"/>
      <c r="B7" s="417"/>
      <c r="C7" s="415"/>
      <c r="D7" s="418"/>
      <c r="E7" s="415" t="s">
        <v>166</v>
      </c>
      <c r="F7" s="419">
        <f>'POSTOS e RESUMO'!U6</f>
        <v>0</v>
      </c>
    </row>
    <row r="8" spans="1:6" ht="19.5" thickBot="1" x14ac:dyDescent="0.3">
      <c r="A8" s="196"/>
      <c r="B8" s="418"/>
      <c r="C8" s="420"/>
      <c r="D8" s="421"/>
      <c r="E8" s="420"/>
      <c r="F8" s="420"/>
    </row>
    <row r="9" spans="1:6" x14ac:dyDescent="0.25">
      <c r="A9" s="1154" t="str">
        <f>'POSTOS e RESUMO'!A8:U8</f>
        <v>EMPRESA</v>
      </c>
      <c r="B9" s="1155"/>
      <c r="C9" s="1155"/>
      <c r="D9" s="1155"/>
      <c r="E9" s="1155"/>
      <c r="F9" s="1156"/>
    </row>
    <row r="10" spans="1:6" ht="15.75" thickBot="1" x14ac:dyDescent="0.3">
      <c r="A10" s="1157" t="str">
        <f>'POSTOS e RESUMO'!A9:U9</f>
        <v>CNPJ</v>
      </c>
      <c r="B10" s="1158"/>
      <c r="C10" s="1158"/>
      <c r="D10" s="1158"/>
      <c r="E10" s="1158"/>
      <c r="F10" s="1159"/>
    </row>
    <row r="11" spans="1:6" ht="15.75" thickBot="1" x14ac:dyDescent="0.3">
      <c r="A11" s="196"/>
      <c r="B11" s="422"/>
      <c r="C11" s="422"/>
      <c r="D11" s="422"/>
      <c r="E11" s="422"/>
      <c r="F11" s="422"/>
    </row>
    <row r="12" spans="1:6" ht="15.75" thickBot="1" x14ac:dyDescent="0.3">
      <c r="A12" s="1148" t="s">
        <v>167</v>
      </c>
      <c r="B12" s="1149"/>
      <c r="C12" s="1149"/>
      <c r="D12" s="1149"/>
      <c r="E12" s="1149"/>
      <c r="F12" s="1150"/>
    </row>
    <row r="13" spans="1:6" ht="15.75" x14ac:dyDescent="0.25">
      <c r="A13" s="423"/>
      <c r="B13" s="424"/>
      <c r="C13" s="425"/>
      <c r="D13" s="424"/>
      <c r="E13" s="424"/>
      <c r="F13" s="425"/>
    </row>
    <row r="14" spans="1:6" ht="15.75" thickBot="1" x14ac:dyDescent="0.3">
      <c r="A14" s="1138" t="s">
        <v>168</v>
      </c>
      <c r="B14" s="1138"/>
      <c r="C14" s="1138"/>
      <c r="D14" s="1138"/>
      <c r="E14" s="1138"/>
      <c r="F14" s="1138"/>
    </row>
    <row r="15" spans="1:6" ht="16.5" thickTop="1" x14ac:dyDescent="0.25">
      <c r="A15" s="423"/>
      <c r="B15" s="424"/>
      <c r="C15" s="425"/>
      <c r="D15" s="424"/>
      <c r="E15" s="424"/>
      <c r="F15" s="425"/>
    </row>
    <row r="16" spans="1:6" ht="45" customHeight="1" x14ac:dyDescent="0.25">
      <c r="A16" s="1139" t="s">
        <v>362</v>
      </c>
      <c r="B16" s="1139"/>
      <c r="C16" s="1139"/>
      <c r="D16" s="1139"/>
      <c r="E16" s="1139"/>
      <c r="F16" s="1139"/>
    </row>
    <row r="17" spans="1:6" ht="15.75" x14ac:dyDescent="0.25">
      <c r="A17" s="423"/>
      <c r="B17" s="424"/>
      <c r="C17" s="425"/>
      <c r="D17" s="424"/>
      <c r="E17" s="424"/>
      <c r="F17" s="425"/>
    </row>
    <row r="18" spans="1:6" ht="16.5" thickBot="1" x14ac:dyDescent="0.3">
      <c r="A18" s="426" t="s">
        <v>47</v>
      </c>
      <c r="B18" s="427"/>
      <c r="C18" s="428"/>
      <c r="D18" s="427"/>
      <c r="E18" s="427"/>
      <c r="F18" s="428"/>
    </row>
    <row r="19" spans="1:6" ht="27" thickTop="1" thickBot="1" x14ac:dyDescent="0.3">
      <c r="A19" s="1140" t="s">
        <v>169</v>
      </c>
      <c r="B19" s="1141"/>
      <c r="C19" s="429" t="s">
        <v>170</v>
      </c>
      <c r="D19" s="430" t="s">
        <v>171</v>
      </c>
      <c r="E19" s="429" t="s">
        <v>461</v>
      </c>
      <c r="F19" s="431" t="s">
        <v>172</v>
      </c>
    </row>
    <row r="20" spans="1:6" ht="30" customHeight="1" thickBot="1" x14ac:dyDescent="0.3">
      <c r="A20" s="1142" t="s">
        <v>173</v>
      </c>
      <c r="B20" s="1143"/>
      <c r="C20" s="432">
        <v>22000</v>
      </c>
      <c r="D20" s="433" t="s">
        <v>174</v>
      </c>
      <c r="E20" s="434">
        <v>19.04</v>
      </c>
      <c r="F20" s="435">
        <f>ROUND((E20*C20),2)</f>
        <v>418880</v>
      </c>
    </row>
    <row r="21" spans="1:6" ht="16.5" thickBot="1" x14ac:dyDescent="0.3">
      <c r="A21" s="423"/>
      <c r="B21" s="424"/>
      <c r="C21" s="425"/>
      <c r="D21" s="424"/>
      <c r="E21" s="424"/>
      <c r="F21" s="425"/>
    </row>
    <row r="22" spans="1:6" ht="16.5" thickBot="1" x14ac:dyDescent="0.3">
      <c r="A22" s="423"/>
      <c r="B22" s="424"/>
      <c r="C22" s="425"/>
      <c r="D22" s="424"/>
      <c r="E22" s="436" t="s">
        <v>175</v>
      </c>
      <c r="F22" s="437">
        <f>F20</f>
        <v>418880</v>
      </c>
    </row>
    <row r="23" spans="1:6" ht="15.75" x14ac:dyDescent="0.25">
      <c r="A23" s="423"/>
      <c r="B23" s="424"/>
      <c r="C23" s="425"/>
      <c r="D23" s="424"/>
      <c r="E23" s="424"/>
      <c r="F23" s="425"/>
    </row>
    <row r="24" spans="1:6" ht="16.5" thickBot="1" x14ac:dyDescent="0.3">
      <c r="A24" s="713" t="s">
        <v>48</v>
      </c>
      <c r="B24" s="714"/>
      <c r="C24" s="715"/>
      <c r="D24" s="714"/>
      <c r="E24" s="714"/>
      <c r="F24" s="715"/>
    </row>
    <row r="25" spans="1:6" ht="27" thickTop="1" thickBot="1" x14ac:dyDescent="0.3">
      <c r="A25" s="710" t="s">
        <v>109</v>
      </c>
      <c r="B25" s="710" t="s">
        <v>169</v>
      </c>
      <c r="C25" s="711" t="s">
        <v>170</v>
      </c>
      <c r="D25" s="710" t="s">
        <v>171</v>
      </c>
      <c r="E25" s="429" t="s">
        <v>461</v>
      </c>
      <c r="F25" s="712" t="s">
        <v>172</v>
      </c>
    </row>
    <row r="26" spans="1:6" ht="26.25" thickBot="1" x14ac:dyDescent="0.3">
      <c r="A26" s="438">
        <v>1</v>
      </c>
      <c r="B26" s="439" t="s">
        <v>176</v>
      </c>
      <c r="C26" s="440">
        <v>276540</v>
      </c>
      <c r="D26" s="441" t="s">
        <v>174</v>
      </c>
      <c r="E26" s="442">
        <v>1.03</v>
      </c>
      <c r="F26" s="443">
        <f>ROUND(C26*E26,2)</f>
        <v>284836.2</v>
      </c>
    </row>
    <row r="27" spans="1:6" ht="26.25" thickBot="1" x14ac:dyDescent="0.3">
      <c r="A27" s="444">
        <v>2</v>
      </c>
      <c r="B27" s="445" t="s">
        <v>177</v>
      </c>
      <c r="C27" s="446">
        <v>82962</v>
      </c>
      <c r="D27" s="447" t="s">
        <v>174</v>
      </c>
      <c r="E27" s="448">
        <v>1.24</v>
      </c>
      <c r="F27" s="449">
        <f>ROUND(C27*E27,2)</f>
        <v>102872.88</v>
      </c>
    </row>
    <row r="28" spans="1:6" ht="15.75" thickBot="1" x14ac:dyDescent="0.3">
      <c r="A28" s="450">
        <v>3</v>
      </c>
      <c r="B28" s="451" t="s">
        <v>178</v>
      </c>
      <c r="C28" s="452">
        <v>55308</v>
      </c>
      <c r="D28" s="453" t="s">
        <v>174</v>
      </c>
      <c r="E28" s="454">
        <v>6.23</v>
      </c>
      <c r="F28" s="455">
        <f>ROUND(C28*E28,2)</f>
        <v>344568.84</v>
      </c>
    </row>
    <row r="29" spans="1:6" ht="90" thickBot="1" x14ac:dyDescent="0.3">
      <c r="A29" s="456">
        <v>4</v>
      </c>
      <c r="B29" s="445" t="s">
        <v>179</v>
      </c>
      <c r="C29" s="457">
        <v>13827</v>
      </c>
      <c r="D29" s="456" t="s">
        <v>180</v>
      </c>
      <c r="E29" s="434">
        <v>21.8</v>
      </c>
      <c r="F29" s="458">
        <f>ROUND((E29*C29),2)</f>
        <v>301428.59999999998</v>
      </c>
    </row>
    <row r="30" spans="1:6" ht="16.5" thickBot="1" x14ac:dyDescent="0.3">
      <c r="A30" s="423"/>
      <c r="B30" s="424"/>
      <c r="C30" s="425"/>
      <c r="D30" s="424"/>
      <c r="E30" s="424"/>
      <c r="F30" s="425"/>
    </row>
    <row r="31" spans="1:6" ht="16.5" thickBot="1" x14ac:dyDescent="0.3">
      <c r="A31" s="423"/>
      <c r="B31" s="424"/>
      <c r="C31" s="425"/>
      <c r="D31" s="424"/>
      <c r="E31" s="436" t="s">
        <v>181</v>
      </c>
      <c r="F31" s="437">
        <f>SUM(F26:F29)</f>
        <v>1033706.52</v>
      </c>
    </row>
    <row r="32" spans="1:6" ht="15.75" thickBot="1" x14ac:dyDescent="0.3">
      <c r="A32" s="713" t="s">
        <v>49</v>
      </c>
      <c r="B32" s="718"/>
      <c r="C32" s="719"/>
      <c r="D32" s="720"/>
      <c r="E32" s="721"/>
      <c r="F32" s="722"/>
    </row>
    <row r="33" spans="1:6" ht="27" thickTop="1" thickBot="1" x14ac:dyDescent="0.3">
      <c r="A33" s="716" t="s">
        <v>109</v>
      </c>
      <c r="B33" s="716" t="s">
        <v>169</v>
      </c>
      <c r="C33" s="717" t="s">
        <v>170</v>
      </c>
      <c r="D33" s="716" t="s">
        <v>171</v>
      </c>
      <c r="E33" s="429" t="s">
        <v>461</v>
      </c>
      <c r="F33" s="712" t="s">
        <v>172</v>
      </c>
    </row>
    <row r="34" spans="1:6" ht="26.25" thickBot="1" x14ac:dyDescent="0.3">
      <c r="A34" s="203">
        <v>5</v>
      </c>
      <c r="B34" s="459" t="s">
        <v>182</v>
      </c>
      <c r="C34" s="432">
        <v>1000</v>
      </c>
      <c r="D34" s="433" t="s">
        <v>174</v>
      </c>
      <c r="E34" s="434">
        <v>2</v>
      </c>
      <c r="F34" s="435">
        <f>ROUND((E34*C34),2)</f>
        <v>2000</v>
      </c>
    </row>
    <row r="35" spans="1:6" x14ac:dyDescent="0.25">
      <c r="A35" s="460">
        <v>6</v>
      </c>
      <c r="B35" s="461" t="s">
        <v>183</v>
      </c>
      <c r="C35" s="1144"/>
      <c r="D35" s="1144"/>
      <c r="E35" s="1144"/>
      <c r="F35" s="1145"/>
    </row>
    <row r="36" spans="1:6" ht="25.5" x14ac:dyDescent="0.25">
      <c r="A36" s="462" t="s">
        <v>184</v>
      </c>
      <c r="B36" s="445" t="s">
        <v>185</v>
      </c>
      <c r="C36" s="463">
        <v>70</v>
      </c>
      <c r="D36" s="462" t="s">
        <v>180</v>
      </c>
      <c r="E36" s="464">
        <v>137.41</v>
      </c>
      <c r="F36" s="465">
        <f>ROUND(E36*C36,2)</f>
        <v>9618.7000000000007</v>
      </c>
    </row>
    <row r="37" spans="1:6" ht="25.5" x14ac:dyDescent="0.25">
      <c r="A37" s="466" t="s">
        <v>186</v>
      </c>
      <c r="B37" s="445" t="s">
        <v>187</v>
      </c>
      <c r="C37" s="467">
        <v>34</v>
      </c>
      <c r="D37" s="468" t="s">
        <v>180</v>
      </c>
      <c r="E37" s="464">
        <v>380.58</v>
      </c>
      <c r="F37" s="469">
        <f t="shared" ref="F37:F44" si="0">ROUND((E37*C37),2)</f>
        <v>12939.72</v>
      </c>
    </row>
    <row r="38" spans="1:6" ht="26.25" thickBot="1" x14ac:dyDescent="0.3">
      <c r="A38" s="462" t="s">
        <v>188</v>
      </c>
      <c r="B38" s="470" t="s">
        <v>189</v>
      </c>
      <c r="C38" s="463">
        <v>10</v>
      </c>
      <c r="D38" s="462" t="s">
        <v>180</v>
      </c>
      <c r="E38" s="464">
        <v>969.99</v>
      </c>
      <c r="F38" s="471">
        <f t="shared" si="0"/>
        <v>9699.9</v>
      </c>
    </row>
    <row r="39" spans="1:6" ht="15.75" thickBot="1" x14ac:dyDescent="0.3">
      <c r="A39" s="1146" t="s">
        <v>190</v>
      </c>
      <c r="B39" s="1147"/>
      <c r="C39" s="472">
        <f>SUM(C36:C38)</f>
        <v>114</v>
      </c>
      <c r="D39" s="473"/>
      <c r="E39" s="474" t="s">
        <v>190</v>
      </c>
      <c r="F39" s="475">
        <f>SUM(F36:F38)</f>
        <v>32258.32</v>
      </c>
    </row>
    <row r="40" spans="1:6" ht="45" customHeight="1" x14ac:dyDescent="0.25">
      <c r="A40" s="476">
        <v>7</v>
      </c>
      <c r="B40" s="1131" t="s">
        <v>191</v>
      </c>
      <c r="C40" s="1132"/>
      <c r="D40" s="1132"/>
      <c r="E40" s="1132"/>
      <c r="F40" s="1133"/>
    </row>
    <row r="41" spans="1:6" ht="25.5" x14ac:dyDescent="0.25">
      <c r="A41" s="201" t="s">
        <v>192</v>
      </c>
      <c r="B41" s="477" t="s">
        <v>193</v>
      </c>
      <c r="C41" s="478">
        <v>15</v>
      </c>
      <c r="D41" s="479" t="s">
        <v>180</v>
      </c>
      <c r="E41" s="480">
        <v>306.85000000000002</v>
      </c>
      <c r="F41" s="481">
        <f t="shared" si="0"/>
        <v>4602.75</v>
      </c>
    </row>
    <row r="42" spans="1:6" ht="26.25" thickBot="1" x14ac:dyDescent="0.3">
      <c r="A42" s="482" t="s">
        <v>194</v>
      </c>
      <c r="B42" s="483" t="s">
        <v>195</v>
      </c>
      <c r="C42" s="478">
        <v>15</v>
      </c>
      <c r="D42" s="433" t="s">
        <v>180</v>
      </c>
      <c r="E42" s="480">
        <v>491.38</v>
      </c>
      <c r="F42" s="484">
        <f t="shared" si="0"/>
        <v>7370.7</v>
      </c>
    </row>
    <row r="43" spans="1:6" ht="15.75" thickBot="1" x14ac:dyDescent="0.3">
      <c r="A43" s="1134" t="s">
        <v>190</v>
      </c>
      <c r="B43" s="1135"/>
      <c r="C43" s="485">
        <f>SUM(C41:C42)</f>
        <v>30</v>
      </c>
      <c r="D43" s="486"/>
      <c r="E43" s="487" t="s">
        <v>190</v>
      </c>
      <c r="F43" s="488">
        <f>SUM(F41:F42)</f>
        <v>11973.45</v>
      </c>
    </row>
    <row r="44" spans="1:6" ht="51.75" thickBot="1" x14ac:dyDescent="0.3">
      <c r="A44" s="489">
        <v>8</v>
      </c>
      <c r="B44" s="490" t="s">
        <v>196</v>
      </c>
      <c r="C44" s="491">
        <v>10</v>
      </c>
      <c r="D44" s="492" t="s">
        <v>180</v>
      </c>
      <c r="E44" s="448">
        <v>276</v>
      </c>
      <c r="F44" s="449">
        <f t="shared" si="0"/>
        <v>2760</v>
      </c>
    </row>
    <row r="45" spans="1:6" ht="15.75" thickBot="1" x14ac:dyDescent="0.3">
      <c r="A45" s="196"/>
      <c r="B45" s="196"/>
      <c r="C45" s="196"/>
      <c r="D45" s="196"/>
      <c r="E45" s="196"/>
      <c r="F45" s="196"/>
    </row>
    <row r="46" spans="1:6" ht="15.75" thickBot="1" x14ac:dyDescent="0.3">
      <c r="A46" s="332"/>
      <c r="B46" s="493"/>
      <c r="C46" s="436"/>
      <c r="D46" s="293"/>
      <c r="E46" s="494" t="s">
        <v>197</v>
      </c>
      <c r="F46" s="437">
        <f>F44+F43+F39+F34</f>
        <v>48991.770000000004</v>
      </c>
    </row>
    <row r="47" spans="1:6" x14ac:dyDescent="0.25">
      <c r="A47" s="332"/>
      <c r="B47" s="493"/>
      <c r="C47" s="436"/>
      <c r="D47" s="293"/>
      <c r="E47" s="494"/>
      <c r="F47" s="495"/>
    </row>
    <row r="48" spans="1:6" x14ac:dyDescent="0.25">
      <c r="A48" s="496"/>
      <c r="B48" s="497" t="s">
        <v>164</v>
      </c>
      <c r="C48" s="498"/>
      <c r="D48" s="499"/>
      <c r="E48" s="498"/>
      <c r="F48" s="500"/>
    </row>
  </sheetData>
  <sheetProtection algorithmName="SHA-512" hashValue="ls2IO9hT/uVc3GQpDSXJSVvs71rjPyV5vx4/gteL4dgvpyDH9dZx+07Gnh1yMEraO5xjOK0QR2bs21wEABKJWA==" saltValue="iN6e30tOge9XUxZha7vkZw==" spinCount="100000" sheet="1" objects="1" scenarios="1" selectLockedCells="1"/>
  <mergeCells count="15">
    <mergeCell ref="A1:F1"/>
    <mergeCell ref="A2:F2"/>
    <mergeCell ref="A3:F3"/>
    <mergeCell ref="A9:F9"/>
    <mergeCell ref="A10:F10"/>
    <mergeCell ref="B40:F40"/>
    <mergeCell ref="A43:B43"/>
    <mergeCell ref="A6:B6"/>
    <mergeCell ref="A14:F14"/>
    <mergeCell ref="A16:F16"/>
    <mergeCell ref="A19:B19"/>
    <mergeCell ref="A20:B20"/>
    <mergeCell ref="C35:F35"/>
    <mergeCell ref="A39:B39"/>
    <mergeCell ref="A12:F12"/>
  </mergeCells>
  <printOptions horizontalCentered="1"/>
  <pageMargins left="0.51181102362204722" right="0.51181102362204722" top="0.78740157480314965" bottom="0.78740157480314965" header="0.31496062992125984" footer="0.31496062992125984"/>
  <pageSetup paperSize="9" scale="71" orientation="portrait" r:id="rId1"/>
  <headerFooter>
    <oddHeader>&amp;R&amp;P</oddHeader>
    <oddFooter>&amp;L&amp;9SACCON/CPC/SECAD&amp;C&amp;8 Última alteração por KETLYN &amp;D&amp;R&amp;9&amp;A
Página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6"/>
  <sheetViews>
    <sheetView showGridLines="0" view="pageBreakPreview" zoomScale="90" zoomScaleNormal="100" zoomScaleSheetLayoutView="90" workbookViewId="0">
      <selection activeCell="J40" sqref="J40"/>
    </sheetView>
  </sheetViews>
  <sheetFormatPr defaultRowHeight="15" x14ac:dyDescent="0.25"/>
  <cols>
    <col min="1" max="1" width="5.5703125" style="401" customWidth="1"/>
    <col min="2" max="2" width="57" style="401" customWidth="1"/>
    <col min="3" max="3" width="13.7109375" style="401" customWidth="1"/>
    <col min="4" max="11" width="15.7109375" style="401" customWidth="1"/>
    <col min="12" max="16384" width="9.140625" style="401"/>
  </cols>
  <sheetData>
    <row r="1" spans="1:11" s="627" customFormat="1" ht="18" customHeight="1" x14ac:dyDescent="0.25">
      <c r="A1" s="1165" t="str">
        <f>'POSTOS e RESUMO'!A1:U1</f>
        <v>TRIBUNAL REGIONAL ELEITORAL DO PARANÁ</v>
      </c>
      <c r="B1" s="1165"/>
      <c r="C1" s="1165"/>
      <c r="D1" s="1165"/>
      <c r="E1" s="1165"/>
      <c r="F1" s="1165"/>
      <c r="G1" s="1165"/>
      <c r="H1" s="1165"/>
      <c r="I1" s="1165"/>
      <c r="J1" s="1165"/>
      <c r="K1" s="1165"/>
    </row>
    <row r="2" spans="1:11" s="529" customFormat="1" ht="15.95" customHeight="1" x14ac:dyDescent="0.25">
      <c r="A2" s="1166" t="str">
        <f>'POSTOS e RESUMO'!A2:U2</f>
        <v>PLANILHA DE FORMAÇÃO DE CUSTOS E PREÇOS - Estimativa TRE-PR</v>
      </c>
      <c r="B2" s="1166"/>
      <c r="C2" s="1166"/>
      <c r="D2" s="1166"/>
      <c r="E2" s="1166"/>
      <c r="F2" s="1166"/>
      <c r="G2" s="1166"/>
      <c r="H2" s="1166"/>
      <c r="I2" s="1166"/>
      <c r="J2" s="1166"/>
      <c r="K2" s="1166"/>
    </row>
    <row r="3" spans="1:11" s="529" customFormat="1" ht="15.95" customHeight="1" x14ac:dyDescent="0.25">
      <c r="A3" s="1167" t="str">
        <f>'POSTOS e RESUMO'!A3:U3</f>
        <v>Serviços de Limpeza, Copeiragem, Manutenção de Áreas Verdes e Limpeza em Altura - Polo 4 - Maringá e Região</v>
      </c>
      <c r="B3" s="1167"/>
      <c r="C3" s="1167"/>
      <c r="D3" s="1167"/>
      <c r="E3" s="1167"/>
      <c r="F3" s="1167"/>
      <c r="G3" s="1167"/>
      <c r="H3" s="1167"/>
      <c r="I3" s="1167"/>
      <c r="J3" s="1167"/>
      <c r="K3" s="1167"/>
    </row>
    <row r="4" spans="1:11" s="529" customFormat="1" ht="12.75" customHeight="1" x14ac:dyDescent="0.25">
      <c r="A4" s="575"/>
      <c r="B4" s="575"/>
      <c r="C4" s="575"/>
      <c r="D4" s="575"/>
      <c r="E4" s="575"/>
      <c r="F4" s="575"/>
      <c r="G4" s="575"/>
      <c r="H4" s="575"/>
      <c r="I4" s="575"/>
      <c r="J4" s="575"/>
      <c r="K4" s="575"/>
    </row>
    <row r="5" spans="1:11" s="529" customFormat="1" x14ac:dyDescent="0.25">
      <c r="A5" s="575"/>
      <c r="B5" s="575"/>
      <c r="C5" s="575"/>
      <c r="D5" s="575"/>
      <c r="E5" s="575"/>
      <c r="F5" s="575"/>
      <c r="G5" s="575"/>
      <c r="H5" s="575"/>
      <c r="I5" s="575"/>
      <c r="J5" s="575"/>
      <c r="K5" s="575"/>
    </row>
    <row r="6" spans="1:11" s="529" customFormat="1" ht="15" customHeight="1" x14ac:dyDescent="0.25">
      <c r="A6" s="1168" t="str">
        <f>'POSTOS e RESUMO'!A8:U8</f>
        <v>EMPRESA</v>
      </c>
      <c r="B6" s="1169"/>
      <c r="C6" s="1169"/>
      <c r="D6" s="1169"/>
      <c r="E6" s="1169"/>
      <c r="F6" s="1169"/>
      <c r="G6" s="1169"/>
      <c r="H6" s="1169"/>
      <c r="I6" s="1169"/>
      <c r="J6" s="1169"/>
      <c r="K6" s="1170"/>
    </row>
    <row r="7" spans="1:11" s="529" customFormat="1" ht="15" customHeight="1" x14ac:dyDescent="0.25">
      <c r="A7" s="1171" t="str">
        <f>'POSTOS e RESUMO'!A9:U9</f>
        <v>CNPJ</v>
      </c>
      <c r="B7" s="1172"/>
      <c r="C7" s="1172"/>
      <c r="D7" s="1172"/>
      <c r="E7" s="1172"/>
      <c r="F7" s="1172"/>
      <c r="G7" s="1172"/>
      <c r="H7" s="1172"/>
      <c r="I7" s="1172"/>
      <c r="J7" s="1172"/>
      <c r="K7" s="1173"/>
    </row>
    <row r="8" spans="1:11" s="529" customFormat="1" ht="15.75" thickBot="1" x14ac:dyDescent="0.3">
      <c r="A8" s="628"/>
      <c r="B8" s="628"/>
      <c r="C8" s="628"/>
      <c r="D8" s="628"/>
      <c r="E8" s="628"/>
      <c r="F8" s="628"/>
      <c r="G8" s="628"/>
      <c r="H8" s="628"/>
      <c r="I8" s="628"/>
      <c r="J8" s="628"/>
      <c r="K8" s="628"/>
    </row>
    <row r="9" spans="1:11" s="529" customFormat="1" ht="30" customHeight="1" thickBot="1" x14ac:dyDescent="0.3">
      <c r="A9" s="1174" t="s">
        <v>429</v>
      </c>
      <c r="B9" s="1175"/>
      <c r="C9" s="1175"/>
      <c r="D9" s="1175"/>
      <c r="E9" s="1175"/>
      <c r="F9" s="1175"/>
      <c r="G9" s="1175"/>
      <c r="H9" s="1175"/>
      <c r="I9" s="1175"/>
      <c r="J9" s="1175"/>
      <c r="K9" s="1176"/>
    </row>
    <row r="10" spans="1:11" s="529" customFormat="1" ht="15.75" customHeight="1" x14ac:dyDescent="0.25">
      <c r="A10" s="229"/>
      <c r="B10" s="229"/>
      <c r="C10" s="229"/>
      <c r="D10" s="229"/>
      <c r="E10" s="229"/>
      <c r="F10" s="229"/>
      <c r="G10" s="229"/>
      <c r="H10" s="229"/>
      <c r="I10" s="229"/>
      <c r="J10" s="229"/>
      <c r="K10" s="229"/>
    </row>
    <row r="11" spans="1:11" s="529" customFormat="1" ht="15.75" customHeight="1" x14ac:dyDescent="0.25">
      <c r="A11" s="629" t="s">
        <v>430</v>
      </c>
      <c r="B11" s="630"/>
      <c r="C11" s="630"/>
      <c r="D11" s="630"/>
      <c r="E11" s="630"/>
      <c r="F11" s="630"/>
      <c r="G11" s="630"/>
      <c r="H11" s="630"/>
      <c r="I11" s="631"/>
      <c r="J11" s="631"/>
      <c r="K11" s="229"/>
    </row>
    <row r="12" spans="1:11" s="529" customFormat="1" ht="15.75" customHeight="1" x14ac:dyDescent="0.25">
      <c r="A12" s="1177" t="s">
        <v>431</v>
      </c>
      <c r="B12" s="1177"/>
      <c r="C12" s="1177"/>
      <c r="D12" s="1177"/>
      <c r="E12" s="1177"/>
      <c r="F12" s="1177"/>
      <c r="G12" s="1177"/>
      <c r="H12" s="1177"/>
      <c r="I12" s="757"/>
      <c r="J12" s="757"/>
      <c r="K12" s="229"/>
    </row>
    <row r="13" spans="1:11" s="529" customFormat="1" ht="15.75" customHeight="1" x14ac:dyDescent="0.25">
      <c r="A13" s="229"/>
      <c r="B13" s="229"/>
      <c r="C13" s="229"/>
      <c r="D13" s="229"/>
      <c r="E13" s="229"/>
      <c r="F13" s="229"/>
      <c r="G13" s="229"/>
      <c r="H13" s="229"/>
      <c r="I13" s="229"/>
      <c r="J13" s="229"/>
      <c r="K13" s="229"/>
    </row>
    <row r="14" spans="1:11" s="529" customFormat="1" ht="15.75" customHeight="1" x14ac:dyDescent="0.25">
      <c r="A14" s="229"/>
      <c r="B14" s="229"/>
      <c r="C14" s="1178" t="s">
        <v>422</v>
      </c>
      <c r="D14" s="1179"/>
      <c r="E14" s="229"/>
      <c r="F14" s="613" t="s">
        <v>432</v>
      </c>
      <c r="G14" s="613" t="s">
        <v>433</v>
      </c>
      <c r="H14" s="229"/>
      <c r="I14" s="758" t="s">
        <v>423</v>
      </c>
      <c r="J14" s="612"/>
      <c r="K14" s="613" t="s">
        <v>424</v>
      </c>
    </row>
    <row r="15" spans="1:11" s="529" customFormat="1" ht="15.75" customHeight="1" x14ac:dyDescent="0.25">
      <c r="A15" s="229"/>
      <c r="B15" s="229"/>
      <c r="C15" s="1180">
        <v>24</v>
      </c>
      <c r="D15" s="1181"/>
      <c r="E15" s="229"/>
      <c r="F15" s="632">
        <v>0.1</v>
      </c>
      <c r="G15" s="633">
        <v>0.05</v>
      </c>
      <c r="H15" s="229"/>
      <c r="I15" s="614">
        <f>CITL!F17</f>
        <v>0.35</v>
      </c>
      <c r="J15" s="615"/>
      <c r="K15" s="616">
        <f>'POSTOS e RESUMO'!G35</f>
        <v>35</v>
      </c>
    </row>
    <row r="16" spans="1:11" s="639" customFormat="1" ht="15.75" customHeight="1" x14ac:dyDescent="0.25">
      <c r="A16" s="229"/>
      <c r="B16" s="229"/>
      <c r="C16" s="634"/>
      <c r="D16" s="634"/>
      <c r="E16" s="229"/>
      <c r="F16" s="635"/>
      <c r="G16" s="636"/>
      <c r="H16" s="229"/>
      <c r="I16" s="637"/>
      <c r="J16" s="637"/>
      <c r="K16" s="638"/>
    </row>
    <row r="17" spans="1:16" s="529" customFormat="1" ht="16.5" thickBot="1" x14ac:dyDescent="0.3">
      <c r="A17" s="640" t="s">
        <v>434</v>
      </c>
      <c r="B17" s="641"/>
      <c r="C17" s="346"/>
      <c r="D17" s="346"/>
      <c r="E17" s="346"/>
      <c r="F17" s="346"/>
      <c r="G17" s="346"/>
      <c r="H17" s="346"/>
      <c r="I17" s="346"/>
      <c r="J17" s="346"/>
      <c r="K17" s="346"/>
    </row>
    <row r="18" spans="1:16" s="643" customFormat="1" ht="45" customHeight="1" thickTop="1" x14ac:dyDescent="0.25">
      <c r="A18" s="642" t="s">
        <v>109</v>
      </c>
      <c r="B18" s="642" t="s">
        <v>201</v>
      </c>
      <c r="C18" s="642" t="s">
        <v>435</v>
      </c>
      <c r="D18" s="642" t="s">
        <v>436</v>
      </c>
      <c r="E18" s="642" t="s">
        <v>437</v>
      </c>
      <c r="F18" s="642" t="s">
        <v>427</v>
      </c>
      <c r="G18" s="642" t="s">
        <v>438</v>
      </c>
      <c r="H18" s="642" t="s">
        <v>428</v>
      </c>
      <c r="I18" s="642" t="s">
        <v>439</v>
      </c>
      <c r="J18" s="642" t="s">
        <v>440</v>
      </c>
      <c r="K18" s="642" t="s">
        <v>441</v>
      </c>
    </row>
    <row r="19" spans="1:16" s="529" customFormat="1" ht="36" x14ac:dyDescent="0.25">
      <c r="A19" s="375">
        <v>1</v>
      </c>
      <c r="B19" s="376" t="s">
        <v>297</v>
      </c>
      <c r="C19" s="644">
        <v>1</v>
      </c>
      <c r="D19" s="644">
        <v>120</v>
      </c>
      <c r="E19" s="645">
        <v>426.59</v>
      </c>
      <c r="F19" s="646">
        <f>ROUND((((E19-(E19*F$15))/D19)*C19),2)</f>
        <v>3.2</v>
      </c>
      <c r="G19" s="646">
        <f>ROUND(((E19*C19*G$15)/D19),2)</f>
        <v>0.18</v>
      </c>
      <c r="H19" s="646">
        <f>F19+G19</f>
        <v>3.3800000000000003</v>
      </c>
      <c r="I19" s="646">
        <f>H19*$I$15</f>
        <v>1.1830000000000001</v>
      </c>
      <c r="J19" s="646">
        <f>ROUND(H19+I19,2)</f>
        <v>4.5599999999999996</v>
      </c>
      <c r="K19" s="647">
        <f>J19</f>
        <v>4.5599999999999996</v>
      </c>
    </row>
    <row r="20" spans="1:16" s="529" customFormat="1" ht="24" x14ac:dyDescent="0.25">
      <c r="A20" s="248">
        <v>2</v>
      </c>
      <c r="B20" s="264" t="s">
        <v>272</v>
      </c>
      <c r="C20" s="648">
        <v>1</v>
      </c>
      <c r="D20" s="648">
        <v>120</v>
      </c>
      <c r="E20" s="649">
        <v>1726.66</v>
      </c>
      <c r="F20" s="650">
        <f t="shared" ref="F20:F22" si="0">ROUND((((E20-(E20*F$15))/D20)*C20),2)</f>
        <v>12.95</v>
      </c>
      <c r="G20" s="650">
        <f t="shared" ref="G20:G22" si="1">ROUND(((E20*C20*G$15)/D20),2)</f>
        <v>0.72</v>
      </c>
      <c r="H20" s="650">
        <f t="shared" ref="H20:H22" si="2">F20+G20</f>
        <v>13.67</v>
      </c>
      <c r="I20" s="650">
        <f t="shared" ref="I20:I22" si="3">H20*$I$15</f>
        <v>4.7844999999999995</v>
      </c>
      <c r="J20" s="650">
        <f t="shared" ref="J20:J22" si="4">ROUND(H20+I20,2)</f>
        <v>18.45</v>
      </c>
      <c r="K20" s="651">
        <f>J20</f>
        <v>18.45</v>
      </c>
    </row>
    <row r="21" spans="1:16" s="529" customFormat="1" ht="60" x14ac:dyDescent="0.25">
      <c r="A21" s="377">
        <v>3</v>
      </c>
      <c r="B21" s="378" t="s">
        <v>273</v>
      </c>
      <c r="C21" s="644">
        <v>1</v>
      </c>
      <c r="D21" s="644">
        <v>60</v>
      </c>
      <c r="E21" s="645">
        <v>417.54</v>
      </c>
      <c r="F21" s="646">
        <f t="shared" si="0"/>
        <v>6.26</v>
      </c>
      <c r="G21" s="646">
        <f t="shared" si="1"/>
        <v>0.35</v>
      </c>
      <c r="H21" s="646">
        <f t="shared" si="2"/>
        <v>6.6099999999999994</v>
      </c>
      <c r="I21" s="646">
        <f t="shared" si="3"/>
        <v>2.3134999999999994</v>
      </c>
      <c r="J21" s="646">
        <f t="shared" si="4"/>
        <v>8.92</v>
      </c>
      <c r="K21" s="647">
        <f>J21</f>
        <v>8.92</v>
      </c>
    </row>
    <row r="22" spans="1:16" s="529" customFormat="1" ht="24" x14ac:dyDescent="0.25">
      <c r="A22" s="248">
        <v>4</v>
      </c>
      <c r="B22" s="264" t="s">
        <v>274</v>
      </c>
      <c r="C22" s="648">
        <v>1</v>
      </c>
      <c r="D22" s="648">
        <v>120</v>
      </c>
      <c r="E22" s="649">
        <v>2132.9299999999998</v>
      </c>
      <c r="F22" s="650">
        <f t="shared" si="0"/>
        <v>16</v>
      </c>
      <c r="G22" s="650">
        <f t="shared" si="1"/>
        <v>0.89</v>
      </c>
      <c r="H22" s="650">
        <f t="shared" si="2"/>
        <v>16.89</v>
      </c>
      <c r="I22" s="650">
        <f t="shared" si="3"/>
        <v>5.9115000000000002</v>
      </c>
      <c r="J22" s="650">
        <f t="shared" si="4"/>
        <v>22.8</v>
      </c>
      <c r="K22" s="651">
        <f>J22</f>
        <v>22.8</v>
      </c>
    </row>
    <row r="23" spans="1:16" s="529" customFormat="1" ht="18" customHeight="1" x14ac:dyDescent="0.25">
      <c r="A23" s="652"/>
      <c r="B23" s="652"/>
      <c r="C23" s="26"/>
      <c r="D23" s="26"/>
      <c r="E23" s="653">
        <f>SUM(E19:E22)</f>
        <v>4703.7199999999993</v>
      </c>
      <c r="F23" s="654"/>
      <c r="G23" s="654"/>
      <c r="H23" s="655">
        <f>SUM(H19:H22)</f>
        <v>40.549999999999997</v>
      </c>
      <c r="I23" s="655">
        <f t="shared" ref="I23:J23" si="5">SUM(I19:I22)</f>
        <v>14.192499999999999</v>
      </c>
      <c r="J23" s="655">
        <f t="shared" si="5"/>
        <v>54.730000000000004</v>
      </c>
      <c r="K23" s="656">
        <f>SUM(K19:K22)</f>
        <v>54.730000000000004</v>
      </c>
      <c r="L23" s="657"/>
      <c r="M23" s="658"/>
      <c r="N23" s="658"/>
      <c r="O23" s="658"/>
      <c r="P23" s="659"/>
    </row>
    <row r="24" spans="1:16" x14ac:dyDescent="0.25">
      <c r="A24" s="289"/>
      <c r="B24" s="289"/>
      <c r="C24" s="289"/>
      <c r="D24" s="294"/>
      <c r="E24" s="294"/>
      <c r="F24" s="280"/>
      <c r="G24" s="280"/>
      <c r="H24" s="280"/>
      <c r="I24" s="280"/>
      <c r="J24" s="280"/>
    </row>
    <row r="25" spans="1:16" s="529" customFormat="1" ht="18" customHeight="1" thickBot="1" x14ac:dyDescent="0.3">
      <c r="A25" s="660"/>
      <c r="B25" s="660"/>
      <c r="C25" s="661"/>
      <c r="D25" s="661"/>
      <c r="E25" s="634"/>
      <c r="F25" s="634"/>
      <c r="G25" s="634"/>
      <c r="H25" s="662"/>
      <c r="I25" s="662"/>
      <c r="J25" s="662"/>
      <c r="K25" s="663"/>
      <c r="L25" s="26"/>
      <c r="M25" s="401"/>
      <c r="N25" s="401"/>
      <c r="O25" s="401"/>
    </row>
    <row r="26" spans="1:16" s="529" customFormat="1" ht="20.100000000000001" customHeight="1" thickBot="1" x14ac:dyDescent="0.3">
      <c r="A26" s="660"/>
      <c r="B26" s="660"/>
      <c r="C26" s="1182" t="s">
        <v>442</v>
      </c>
      <c r="D26" s="1182"/>
      <c r="E26" s="1182"/>
      <c r="F26" s="1182"/>
      <c r="G26" s="1182"/>
      <c r="H26" s="1182"/>
      <c r="I26" s="1182"/>
      <c r="J26" s="1183"/>
      <c r="K26" s="664">
        <f>K23</f>
        <v>54.730000000000004</v>
      </c>
      <c r="L26" s="26"/>
      <c r="M26" s="401"/>
      <c r="N26" s="401"/>
      <c r="O26" s="401"/>
    </row>
    <row r="27" spans="1:16" x14ac:dyDescent="0.25">
      <c r="A27" s="289"/>
      <c r="B27" s="289"/>
      <c r="C27" s="289"/>
      <c r="D27" s="294"/>
      <c r="E27" s="294"/>
      <c r="F27" s="294"/>
      <c r="G27" s="294"/>
      <c r="H27" s="294"/>
      <c r="I27" s="294"/>
      <c r="J27" s="280"/>
    </row>
    <row r="28" spans="1:16" ht="16.5" thickBot="1" x14ac:dyDescent="0.3">
      <c r="A28" s="1184" t="s">
        <v>45</v>
      </c>
      <c r="B28" s="1184"/>
      <c r="C28" s="1184"/>
      <c r="D28" s="1184"/>
      <c r="E28" s="1184"/>
      <c r="F28" s="1184"/>
      <c r="G28" s="1184"/>
      <c r="H28" s="1184"/>
      <c r="I28" s="1184"/>
      <c r="J28" s="1184"/>
      <c r="K28" s="1184"/>
    </row>
    <row r="29" spans="1:16" ht="16.5" thickTop="1" x14ac:dyDescent="0.25">
      <c r="A29" s="21"/>
      <c r="B29" s="21"/>
      <c r="C29" s="21"/>
      <c r="D29" s="21"/>
      <c r="E29" s="21"/>
      <c r="F29" s="20"/>
      <c r="G29" s="20"/>
      <c r="H29" s="20"/>
      <c r="I29" s="20"/>
      <c r="J29" s="20"/>
    </row>
    <row r="30" spans="1:16" ht="30" customHeight="1" x14ac:dyDescent="0.25">
      <c r="A30" s="22" t="s">
        <v>289</v>
      </c>
      <c r="B30" s="1160" t="s">
        <v>443</v>
      </c>
      <c r="C30" s="1160"/>
      <c r="D30" s="1160"/>
      <c r="E30" s="1160"/>
      <c r="F30" s="1160"/>
      <c r="G30" s="1160"/>
      <c r="H30" s="1160"/>
      <c r="I30" s="1160"/>
      <c r="J30" s="1160"/>
      <c r="K30" s="1160"/>
    </row>
    <row r="31" spans="1:16" ht="39.950000000000003" customHeight="1" x14ac:dyDescent="0.25">
      <c r="A31" s="665" t="s">
        <v>290</v>
      </c>
      <c r="B31" s="1160" t="s">
        <v>444</v>
      </c>
      <c r="C31" s="1160"/>
      <c r="D31" s="1160"/>
      <c r="E31" s="1160"/>
      <c r="F31" s="1160"/>
      <c r="G31" s="1160"/>
      <c r="H31" s="1160"/>
      <c r="I31" s="1160"/>
      <c r="J31" s="1160"/>
      <c r="K31" s="1160"/>
      <c r="L31" s="666"/>
    </row>
    <row r="32" spans="1:16" ht="32.1" customHeight="1" x14ac:dyDescent="0.25">
      <c r="A32" s="665" t="s">
        <v>292</v>
      </c>
      <c r="B32" s="1160" t="s">
        <v>445</v>
      </c>
      <c r="C32" s="1160"/>
      <c r="D32" s="1160"/>
      <c r="E32" s="1160"/>
      <c r="F32" s="1160"/>
      <c r="G32" s="1160"/>
      <c r="H32" s="1160"/>
      <c r="I32" s="1160"/>
      <c r="J32" s="1160"/>
      <c r="K32" s="1160"/>
      <c r="L32" s="667"/>
    </row>
    <row r="33" spans="1:12" s="669" customFormat="1" ht="20.100000000000001" customHeight="1" x14ac:dyDescent="0.25">
      <c r="A33" s="22" t="s">
        <v>446</v>
      </c>
      <c r="B33" s="1160" t="s">
        <v>291</v>
      </c>
      <c r="C33" s="1160"/>
      <c r="D33" s="1160"/>
      <c r="E33" s="1160"/>
      <c r="F33" s="1160"/>
      <c r="G33" s="668"/>
      <c r="H33" s="668"/>
      <c r="I33" s="668"/>
      <c r="J33" s="668"/>
      <c r="K33" s="668"/>
      <c r="L33" s="668"/>
    </row>
    <row r="34" spans="1:12" s="669" customFormat="1" ht="30" customHeight="1" x14ac:dyDescent="0.25">
      <c r="A34" s="665" t="s">
        <v>294</v>
      </c>
      <c r="B34" s="1160" t="s">
        <v>447</v>
      </c>
      <c r="C34" s="1160"/>
      <c r="D34" s="1160"/>
      <c r="E34" s="1160"/>
      <c r="F34" s="1160"/>
      <c r="G34" s="1160"/>
      <c r="H34" s="1160"/>
      <c r="I34" s="1160"/>
      <c r="J34" s="1160"/>
      <c r="K34" s="1160"/>
      <c r="L34" s="668"/>
    </row>
    <row r="35" spans="1:12" ht="30" customHeight="1" x14ac:dyDescent="0.25">
      <c r="A35" s="617" t="s">
        <v>448</v>
      </c>
      <c r="B35" s="1161" t="s">
        <v>295</v>
      </c>
      <c r="C35" s="1161"/>
      <c r="D35" s="1161"/>
      <c r="E35" s="1161"/>
      <c r="F35" s="1161"/>
      <c r="G35" s="1162" t="s">
        <v>373</v>
      </c>
      <c r="H35" s="1163"/>
      <c r="I35" s="1163"/>
      <c r="J35" s="1163"/>
      <c r="K35" s="1164"/>
      <c r="L35" s="514"/>
    </row>
    <row r="36" spans="1:12" x14ac:dyDescent="0.25">
      <c r="A36" s="23"/>
      <c r="B36" s="24"/>
      <c r="C36" s="24"/>
      <c r="D36" s="25"/>
      <c r="E36" s="24"/>
      <c r="F36" s="26"/>
      <c r="G36" s="26"/>
      <c r="H36" s="26"/>
      <c r="I36" s="26"/>
      <c r="J36" s="26"/>
    </row>
  </sheetData>
  <sheetProtection algorithmName="SHA-512" hashValue="VUFrEignxqsucTkRzvpQq1NRlCiLWDZUaB04ZYb74XY0TrZkriINajfgUJEnMvaK89eNHxITytGtynS9r8W+tQ==" saltValue="TU0yzqs8mR9yE/xJxo/O7g==" spinCount="100000" sheet="1" objects="1" scenarios="1" selectLockedCells="1"/>
  <mergeCells count="18">
    <mergeCell ref="B30:K30"/>
    <mergeCell ref="A1:K1"/>
    <mergeCell ref="A2:K2"/>
    <mergeCell ref="A3:K3"/>
    <mergeCell ref="A6:K6"/>
    <mergeCell ref="A7:K7"/>
    <mergeCell ref="A9:K9"/>
    <mergeCell ref="A12:H12"/>
    <mergeCell ref="C14:D14"/>
    <mergeCell ref="C15:D15"/>
    <mergeCell ref="C26:J26"/>
    <mergeCell ref="A28:K28"/>
    <mergeCell ref="B31:K31"/>
    <mergeCell ref="B32:K32"/>
    <mergeCell ref="B33:F33"/>
    <mergeCell ref="B34:K34"/>
    <mergeCell ref="B35:F35"/>
    <mergeCell ref="G35:K35"/>
  </mergeCells>
  <printOptions horizontalCentered="1"/>
  <pageMargins left="1.1811023622047245" right="1.1811023622047245" top="0.78740157480314965" bottom="0.78740157480314965" header="0.31496062992125984" footer="0.31496062992125984"/>
  <pageSetup paperSize="9" scale="5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30"/>
  <sheetViews>
    <sheetView showGridLines="0" view="pageBreakPreview" zoomScale="90" zoomScaleNormal="90" zoomScaleSheetLayoutView="90" workbookViewId="0">
      <selection activeCell="G124" sqref="G124"/>
    </sheetView>
  </sheetViews>
  <sheetFormatPr defaultRowHeight="15" x14ac:dyDescent="0.25"/>
  <cols>
    <col min="1" max="1" width="5.5703125" style="401" customWidth="1"/>
    <col min="2" max="2" width="57" style="401" customWidth="1"/>
    <col min="3" max="12" width="13.7109375" style="401" customWidth="1"/>
    <col min="13" max="16384" width="9.140625" style="401"/>
  </cols>
  <sheetData>
    <row r="1" spans="1:13" ht="15.75" x14ac:dyDescent="0.25">
      <c r="A1" s="1231" t="str">
        <f>'POSTOS e RESUMO'!A1:U1</f>
        <v>TRIBUNAL REGIONAL ELEITORAL DO PARANÁ</v>
      </c>
      <c r="B1" s="1231"/>
      <c r="C1" s="1231"/>
      <c r="D1" s="1231"/>
      <c r="E1" s="1231"/>
      <c r="F1" s="1231"/>
      <c r="G1" s="1231"/>
      <c r="H1" s="1231"/>
      <c r="I1" s="1231"/>
      <c r="J1" s="1231"/>
      <c r="K1" s="1231"/>
      <c r="L1" s="1231"/>
      <c r="M1" s="626"/>
    </row>
    <row r="2" spans="1:13" x14ac:dyDescent="0.25">
      <c r="A2" s="1232" t="str">
        <f>'POSTOS e RESUMO'!A2:U2</f>
        <v>PLANILHA DE FORMAÇÃO DE CUSTOS E PREÇOS - Estimativa TRE-PR</v>
      </c>
      <c r="B2" s="1232"/>
      <c r="C2" s="1232"/>
      <c r="D2" s="1232"/>
      <c r="E2" s="1232"/>
      <c r="F2" s="1232"/>
      <c r="G2" s="1232"/>
      <c r="H2" s="1232"/>
      <c r="I2" s="1232"/>
      <c r="J2" s="1232"/>
      <c r="K2" s="1232"/>
      <c r="L2" s="1232"/>
    </row>
    <row r="3" spans="1:13" x14ac:dyDescent="0.25">
      <c r="A3" s="1232" t="str">
        <f>'POSTOS e RESUMO'!A3:U3</f>
        <v>Serviços de Limpeza, Copeiragem, Manutenção de Áreas Verdes e Limpeza em Altura - Polo 4 - Maringá e Região</v>
      </c>
      <c r="B3" s="1232"/>
      <c r="C3" s="1232"/>
      <c r="D3" s="1232"/>
      <c r="E3" s="1232"/>
      <c r="F3" s="1232"/>
      <c r="G3" s="1232"/>
      <c r="H3" s="1232"/>
      <c r="I3" s="1232"/>
      <c r="J3" s="1232"/>
      <c r="K3" s="1232"/>
      <c r="L3" s="1232"/>
    </row>
    <row r="4" spans="1:13" x14ac:dyDescent="0.25">
      <c r="A4" s="1233"/>
      <c r="B4" s="1234"/>
      <c r="C4" s="1234"/>
      <c r="D4" s="1234"/>
      <c r="E4" s="1234"/>
      <c r="F4" s="1234"/>
      <c r="G4" s="1234"/>
      <c r="H4" s="1234"/>
      <c r="I4" s="1234"/>
      <c r="J4" s="1234"/>
      <c r="K4" s="1234"/>
      <c r="L4" s="1234"/>
    </row>
    <row r="5" spans="1:13" x14ac:dyDescent="0.25">
      <c r="A5" s="1235" t="str">
        <f>'POSTOS e RESUMO'!A8:U8</f>
        <v>EMPRESA</v>
      </c>
      <c r="B5" s="1236"/>
      <c r="C5" s="1236"/>
      <c r="D5" s="1236"/>
      <c r="E5" s="1236"/>
      <c r="F5" s="1236"/>
      <c r="G5" s="1236"/>
      <c r="H5" s="1236"/>
      <c r="I5" s="1236"/>
      <c r="J5" s="1236"/>
      <c r="K5" s="1236"/>
      <c r="L5" s="1237"/>
    </row>
    <row r="6" spans="1:13" x14ac:dyDescent="0.25">
      <c r="A6" s="1228" t="str">
        <f>'POSTOS e RESUMO'!A9:U9</f>
        <v>CNPJ</v>
      </c>
      <c r="B6" s="1229"/>
      <c r="C6" s="1229"/>
      <c r="D6" s="1229"/>
      <c r="E6" s="1229"/>
      <c r="F6" s="1229"/>
      <c r="G6" s="1229"/>
      <c r="H6" s="1229"/>
      <c r="I6" s="1229"/>
      <c r="J6" s="1229"/>
      <c r="K6" s="1229"/>
      <c r="L6" s="1230"/>
    </row>
    <row r="7" spans="1:13" x14ac:dyDescent="0.25">
      <c r="A7" s="232"/>
      <c r="B7" s="232"/>
      <c r="C7" s="232"/>
      <c r="D7" s="232"/>
      <c r="E7" s="232"/>
      <c r="F7" s="232"/>
      <c r="G7" s="233"/>
      <c r="H7" s="233"/>
      <c r="I7" s="233"/>
      <c r="J7" s="233"/>
      <c r="K7" s="233"/>
      <c r="L7" s="233"/>
    </row>
    <row r="8" spans="1:13" x14ac:dyDescent="0.25">
      <c r="A8" s="1213" t="s">
        <v>20</v>
      </c>
      <c r="B8" s="1214"/>
      <c r="C8" s="1214"/>
      <c r="D8" s="1214"/>
      <c r="E8" s="1214"/>
      <c r="F8" s="1214"/>
      <c r="G8" s="1214"/>
      <c r="H8" s="1214"/>
      <c r="I8" s="1214"/>
      <c r="J8" s="1214"/>
      <c r="K8" s="1214"/>
      <c r="L8" s="1215"/>
    </row>
    <row r="9" spans="1:13" x14ac:dyDescent="0.25">
      <c r="A9" s="234"/>
      <c r="B9" s="398"/>
      <c r="C9" s="398"/>
      <c r="D9" s="398"/>
      <c r="E9" s="398"/>
      <c r="F9" s="398"/>
      <c r="G9" s="398"/>
      <c r="H9" s="511"/>
      <c r="I9" s="511"/>
      <c r="J9" s="398"/>
      <c r="K9" s="398"/>
      <c r="L9" s="398"/>
    </row>
    <row r="10" spans="1:13" x14ac:dyDescent="0.25">
      <c r="A10" s="234"/>
      <c r="B10" s="14" t="s">
        <v>198</v>
      </c>
      <c r="C10" s="399"/>
      <c r="D10" s="399"/>
      <c r="E10" s="399"/>
      <c r="F10" s="399"/>
      <c r="G10" s="1220" t="s">
        <v>164</v>
      </c>
      <c r="H10" s="1221"/>
      <c r="I10" s="1221"/>
      <c r="J10" s="1221"/>
      <c r="K10" s="1221"/>
      <c r="L10" s="1222"/>
    </row>
    <row r="11" spans="1:13" x14ac:dyDescent="0.25">
      <c r="A11" s="234"/>
      <c r="B11" s="16"/>
      <c r="C11" s="399"/>
      <c r="D11" s="399"/>
      <c r="E11" s="399"/>
      <c r="F11" s="399"/>
      <c r="G11" s="17"/>
      <c r="H11" s="17"/>
      <c r="I11" s="17"/>
      <c r="J11" s="17"/>
      <c r="K11" s="17"/>
      <c r="L11" s="398"/>
    </row>
    <row r="12" spans="1:13" ht="30" customHeight="1" x14ac:dyDescent="0.25">
      <c r="A12" s="234"/>
      <c r="B12" s="1216" t="s">
        <v>450</v>
      </c>
      <c r="C12" s="1216"/>
      <c r="D12" s="1216"/>
      <c r="E12" s="1216"/>
      <c r="F12" s="1216"/>
      <c r="G12" s="1216"/>
      <c r="H12" s="1216"/>
      <c r="I12" s="1216"/>
      <c r="J12" s="1216"/>
      <c r="K12" s="1216"/>
      <c r="L12" s="1216"/>
    </row>
    <row r="13" spans="1:13" ht="30" customHeight="1" x14ac:dyDescent="0.25">
      <c r="A13" s="234"/>
      <c r="B13" s="1217" t="s">
        <v>451</v>
      </c>
      <c r="C13" s="1217"/>
      <c r="D13" s="1217"/>
      <c r="E13" s="1217"/>
      <c r="F13" s="1217"/>
      <c r="G13" s="1217"/>
      <c r="H13" s="1217"/>
      <c r="I13" s="1217"/>
      <c r="J13" s="1217"/>
      <c r="K13" s="1217"/>
      <c r="L13" s="1217"/>
    </row>
    <row r="14" spans="1:13" ht="15.75" customHeight="1" x14ac:dyDescent="0.25">
      <c r="A14" s="234"/>
      <c r="B14" s="505"/>
      <c r="C14" s="1223" t="s">
        <v>422</v>
      </c>
      <c r="D14" s="1223"/>
      <c r="E14" s="1223"/>
      <c r="F14" s="505"/>
      <c r="G14" s="505"/>
      <c r="H14" s="611" t="s">
        <v>423</v>
      </c>
      <c r="I14" s="505"/>
      <c r="J14" s="1225" t="s">
        <v>425</v>
      </c>
      <c r="K14" s="1226"/>
      <c r="L14" s="1227"/>
    </row>
    <row r="15" spans="1:13" ht="15.75" customHeight="1" x14ac:dyDescent="0.25">
      <c r="A15" s="332"/>
      <c r="B15" s="196"/>
      <c r="C15" s="1224">
        <v>24</v>
      </c>
      <c r="D15" s="1224"/>
      <c r="E15" s="1224"/>
      <c r="F15" s="196"/>
      <c r="G15" s="196"/>
      <c r="H15" s="621">
        <f>CITL!F17</f>
        <v>0.35</v>
      </c>
      <c r="I15" s="196"/>
      <c r="J15" s="618">
        <f>'POSTOS e RESUMO'!G32</f>
        <v>32</v>
      </c>
      <c r="K15" s="619">
        <f>'POSTOS e RESUMO'!G33</f>
        <v>1</v>
      </c>
      <c r="L15" s="620">
        <f>'POSTOS e RESUMO'!G34</f>
        <v>2</v>
      </c>
    </row>
    <row r="16" spans="1:13" ht="15.75" customHeight="1" x14ac:dyDescent="0.25">
      <c r="A16" s="332"/>
      <c r="B16" s="196"/>
      <c r="C16" s="196"/>
      <c r="D16" s="196"/>
      <c r="E16" s="196"/>
      <c r="F16" s="196"/>
      <c r="G16" s="196"/>
      <c r="H16" s="196"/>
      <c r="I16" s="196"/>
      <c r="J16" s="196"/>
      <c r="K16" s="196"/>
      <c r="L16" s="196"/>
    </row>
    <row r="17" spans="1:12" ht="18.75" x14ac:dyDescent="0.25">
      <c r="A17" s="1199" t="s">
        <v>199</v>
      </c>
      <c r="B17" s="1200"/>
      <c r="C17" s="1200"/>
      <c r="D17" s="1200"/>
      <c r="E17" s="1200"/>
      <c r="F17" s="1200"/>
      <c r="G17" s="1200"/>
      <c r="H17" s="1200"/>
      <c r="I17" s="1200"/>
      <c r="J17" s="1200"/>
      <c r="K17" s="1200"/>
      <c r="L17" s="1201"/>
    </row>
    <row r="18" spans="1:12" ht="30" customHeight="1" thickBot="1" x14ac:dyDescent="0.3">
      <c r="A18" s="1218" t="s">
        <v>200</v>
      </c>
      <c r="B18" s="1219"/>
      <c r="C18" s="673"/>
      <c r="D18" s="673"/>
      <c r="E18" s="673"/>
      <c r="F18" s="673"/>
      <c r="G18" s="674"/>
      <c r="H18" s="674"/>
      <c r="I18" s="674"/>
      <c r="J18" s="674"/>
      <c r="K18" s="674"/>
      <c r="L18" s="674"/>
    </row>
    <row r="19" spans="1:12" ht="36.75" thickTop="1" x14ac:dyDescent="0.25">
      <c r="A19" s="671" t="s">
        <v>109</v>
      </c>
      <c r="B19" s="671" t="s">
        <v>201</v>
      </c>
      <c r="C19" s="671" t="s">
        <v>202</v>
      </c>
      <c r="D19" s="672" t="s">
        <v>374</v>
      </c>
      <c r="E19" s="672" t="s">
        <v>375</v>
      </c>
      <c r="F19" s="672" t="s">
        <v>376</v>
      </c>
      <c r="G19" s="578" t="s">
        <v>39</v>
      </c>
      <c r="H19" s="578" t="s">
        <v>423</v>
      </c>
      <c r="I19" s="578" t="s">
        <v>426</v>
      </c>
      <c r="J19" s="578" t="s">
        <v>377</v>
      </c>
      <c r="K19" s="578" t="s">
        <v>378</v>
      </c>
      <c r="L19" s="578" t="s">
        <v>379</v>
      </c>
    </row>
    <row r="20" spans="1:12" ht="36" x14ac:dyDescent="0.25">
      <c r="A20" s="261">
        <v>1</v>
      </c>
      <c r="B20" s="243" t="s">
        <v>203</v>
      </c>
      <c r="C20" s="244" t="s">
        <v>204</v>
      </c>
      <c r="D20" s="333">
        <v>5</v>
      </c>
      <c r="E20" s="334">
        <v>5</v>
      </c>
      <c r="F20" s="245">
        <v>5</v>
      </c>
      <c r="G20" s="402">
        <v>3.12</v>
      </c>
      <c r="H20" s="622">
        <f>G20*$H$15</f>
        <v>1.0919999999999999</v>
      </c>
      <c r="I20" s="622">
        <f>ROUND(G20+H20,2)</f>
        <v>4.21</v>
      </c>
      <c r="J20" s="335">
        <f>ROUND(D20*I20,2)</f>
        <v>21.05</v>
      </c>
      <c r="K20" s="336">
        <f>ROUND(E20*I20,2)</f>
        <v>21.05</v>
      </c>
      <c r="L20" s="247">
        <f>ROUND(F20*I20,2)</f>
        <v>21.05</v>
      </c>
    </row>
    <row r="21" spans="1:12" ht="24" x14ac:dyDescent="0.25">
      <c r="A21" s="248">
        <v>2</v>
      </c>
      <c r="B21" s="249" t="s">
        <v>205</v>
      </c>
      <c r="C21" s="250" t="s">
        <v>206</v>
      </c>
      <c r="D21" s="337">
        <v>4</v>
      </c>
      <c r="E21" s="338">
        <v>7</v>
      </c>
      <c r="F21" s="251">
        <v>7</v>
      </c>
      <c r="G21" s="403">
        <v>9.6999999999999993</v>
      </c>
      <c r="H21" s="623">
        <f>G21*$H$15</f>
        <v>3.3949999999999996</v>
      </c>
      <c r="I21" s="623">
        <f>ROUND(G21+H21,2)</f>
        <v>13.1</v>
      </c>
      <c r="J21" s="339">
        <f>ROUND(D21*I21,2)</f>
        <v>52.4</v>
      </c>
      <c r="K21" s="340">
        <f>ROUND(E21*I21,2)</f>
        <v>91.7</v>
      </c>
      <c r="L21" s="253">
        <f>ROUND(F21*I21,2)</f>
        <v>91.7</v>
      </c>
    </row>
    <row r="22" spans="1:12" x14ac:dyDescent="0.25">
      <c r="A22" s="261">
        <v>3</v>
      </c>
      <c r="B22" s="243" t="s">
        <v>207</v>
      </c>
      <c r="C22" s="244" t="s">
        <v>206</v>
      </c>
      <c r="D22" s="333">
        <v>4</v>
      </c>
      <c r="E22" s="334">
        <v>6</v>
      </c>
      <c r="F22" s="245">
        <v>6</v>
      </c>
      <c r="G22" s="402">
        <v>8.14</v>
      </c>
      <c r="H22" s="622">
        <f t="shared" ref="H22:H47" si="0">G22*$H$15</f>
        <v>2.8490000000000002</v>
      </c>
      <c r="I22" s="622">
        <f t="shared" ref="I22:I47" si="1">ROUND(G22+H22,2)</f>
        <v>10.99</v>
      </c>
      <c r="J22" s="335">
        <f t="shared" ref="J22:J47" si="2">ROUND(D22*I22,2)</f>
        <v>43.96</v>
      </c>
      <c r="K22" s="336">
        <f t="shared" ref="K22:K47" si="3">ROUND(E22*I22,2)</f>
        <v>65.94</v>
      </c>
      <c r="L22" s="247">
        <f t="shared" ref="L22:L47" si="4">ROUND(F22*I22,2)</f>
        <v>65.94</v>
      </c>
    </row>
    <row r="23" spans="1:12" ht="24" x14ac:dyDescent="0.25">
      <c r="A23" s="248">
        <v>4</v>
      </c>
      <c r="B23" s="249" t="s">
        <v>208</v>
      </c>
      <c r="C23" s="250" t="s">
        <v>204</v>
      </c>
      <c r="D23" s="337">
        <v>5</v>
      </c>
      <c r="E23" s="338">
        <v>7</v>
      </c>
      <c r="F23" s="251">
        <v>7</v>
      </c>
      <c r="G23" s="403">
        <v>2.5299999999999998</v>
      </c>
      <c r="H23" s="623">
        <f t="shared" si="0"/>
        <v>0.88549999999999984</v>
      </c>
      <c r="I23" s="623">
        <f t="shared" si="1"/>
        <v>3.42</v>
      </c>
      <c r="J23" s="339">
        <f t="shared" si="2"/>
        <v>17.100000000000001</v>
      </c>
      <c r="K23" s="340">
        <f t="shared" si="3"/>
        <v>23.94</v>
      </c>
      <c r="L23" s="253">
        <f t="shared" si="4"/>
        <v>23.94</v>
      </c>
    </row>
    <row r="24" spans="1:12" ht="24" x14ac:dyDescent="0.25">
      <c r="A24" s="261">
        <v>5</v>
      </c>
      <c r="B24" s="262" t="s">
        <v>209</v>
      </c>
      <c r="C24" s="244" t="s">
        <v>206</v>
      </c>
      <c r="D24" s="333">
        <v>4</v>
      </c>
      <c r="E24" s="334">
        <v>5</v>
      </c>
      <c r="F24" s="245">
        <v>5</v>
      </c>
      <c r="G24" s="402">
        <v>1.76</v>
      </c>
      <c r="H24" s="622">
        <f t="shared" si="0"/>
        <v>0.61599999999999999</v>
      </c>
      <c r="I24" s="622">
        <f t="shared" si="1"/>
        <v>2.38</v>
      </c>
      <c r="J24" s="335">
        <f t="shared" si="2"/>
        <v>9.52</v>
      </c>
      <c r="K24" s="336">
        <f t="shared" si="3"/>
        <v>11.9</v>
      </c>
      <c r="L24" s="247">
        <f t="shared" si="4"/>
        <v>11.9</v>
      </c>
    </row>
    <row r="25" spans="1:12" ht="24" x14ac:dyDescent="0.25">
      <c r="A25" s="248">
        <v>6</v>
      </c>
      <c r="B25" s="249" t="s">
        <v>210</v>
      </c>
      <c r="C25" s="250" t="s">
        <v>211</v>
      </c>
      <c r="D25" s="337">
        <v>2</v>
      </c>
      <c r="E25" s="338">
        <v>2</v>
      </c>
      <c r="F25" s="251">
        <v>2</v>
      </c>
      <c r="G25" s="403">
        <v>2.42</v>
      </c>
      <c r="H25" s="623">
        <f t="shared" si="0"/>
        <v>0.84699999999999998</v>
      </c>
      <c r="I25" s="623">
        <f t="shared" si="1"/>
        <v>3.27</v>
      </c>
      <c r="J25" s="339">
        <f t="shared" si="2"/>
        <v>6.54</v>
      </c>
      <c r="K25" s="340">
        <f t="shared" si="3"/>
        <v>6.54</v>
      </c>
      <c r="L25" s="253">
        <f t="shared" si="4"/>
        <v>6.54</v>
      </c>
    </row>
    <row r="26" spans="1:12" ht="36" x14ac:dyDescent="0.25">
      <c r="A26" s="261">
        <v>7</v>
      </c>
      <c r="B26" s="262" t="s">
        <v>212</v>
      </c>
      <c r="C26" s="244" t="s">
        <v>202</v>
      </c>
      <c r="D26" s="333">
        <v>4</v>
      </c>
      <c r="E26" s="334">
        <v>5</v>
      </c>
      <c r="F26" s="245">
        <v>5</v>
      </c>
      <c r="G26" s="402">
        <v>0.95</v>
      </c>
      <c r="H26" s="622">
        <f t="shared" si="0"/>
        <v>0.33249999999999996</v>
      </c>
      <c r="I26" s="622">
        <f t="shared" si="1"/>
        <v>1.28</v>
      </c>
      <c r="J26" s="335">
        <f t="shared" si="2"/>
        <v>5.12</v>
      </c>
      <c r="K26" s="336">
        <f t="shared" si="3"/>
        <v>6.4</v>
      </c>
      <c r="L26" s="247">
        <f t="shared" si="4"/>
        <v>6.4</v>
      </c>
    </row>
    <row r="27" spans="1:12" ht="24" x14ac:dyDescent="0.25">
      <c r="A27" s="248">
        <v>8</v>
      </c>
      <c r="B27" s="264" t="s">
        <v>213</v>
      </c>
      <c r="C27" s="250" t="s">
        <v>202</v>
      </c>
      <c r="D27" s="337">
        <v>4</v>
      </c>
      <c r="E27" s="338">
        <v>6</v>
      </c>
      <c r="F27" s="251">
        <v>6</v>
      </c>
      <c r="G27" s="403">
        <v>3.09</v>
      </c>
      <c r="H27" s="623">
        <f t="shared" si="0"/>
        <v>1.0814999999999999</v>
      </c>
      <c r="I27" s="623">
        <f t="shared" si="1"/>
        <v>4.17</v>
      </c>
      <c r="J27" s="339">
        <f t="shared" si="2"/>
        <v>16.68</v>
      </c>
      <c r="K27" s="340">
        <f t="shared" si="3"/>
        <v>25.02</v>
      </c>
      <c r="L27" s="253">
        <f t="shared" si="4"/>
        <v>25.02</v>
      </c>
    </row>
    <row r="28" spans="1:12" ht="24" x14ac:dyDescent="0.25">
      <c r="A28" s="261">
        <v>9</v>
      </c>
      <c r="B28" s="262" t="s">
        <v>214</v>
      </c>
      <c r="C28" s="244" t="s">
        <v>202</v>
      </c>
      <c r="D28" s="333">
        <v>5</v>
      </c>
      <c r="E28" s="334">
        <v>8</v>
      </c>
      <c r="F28" s="245">
        <v>8</v>
      </c>
      <c r="G28" s="402">
        <v>2.3199999999999998</v>
      </c>
      <c r="H28" s="622">
        <f t="shared" si="0"/>
        <v>0.81199999999999994</v>
      </c>
      <c r="I28" s="622">
        <f t="shared" si="1"/>
        <v>3.13</v>
      </c>
      <c r="J28" s="335">
        <f t="shared" si="2"/>
        <v>15.65</v>
      </c>
      <c r="K28" s="336">
        <f t="shared" si="3"/>
        <v>25.04</v>
      </c>
      <c r="L28" s="247">
        <f t="shared" si="4"/>
        <v>25.04</v>
      </c>
    </row>
    <row r="29" spans="1:12" ht="24" x14ac:dyDescent="0.25">
      <c r="A29" s="248">
        <v>10</v>
      </c>
      <c r="B29" s="249" t="s">
        <v>215</v>
      </c>
      <c r="C29" s="250" t="s">
        <v>204</v>
      </c>
      <c r="D29" s="337">
        <v>3</v>
      </c>
      <c r="E29" s="338">
        <v>4</v>
      </c>
      <c r="F29" s="251">
        <v>4</v>
      </c>
      <c r="G29" s="403">
        <v>9.98</v>
      </c>
      <c r="H29" s="623">
        <f t="shared" si="0"/>
        <v>3.4929999999999999</v>
      </c>
      <c r="I29" s="623">
        <f t="shared" si="1"/>
        <v>13.47</v>
      </c>
      <c r="J29" s="339">
        <f t="shared" si="2"/>
        <v>40.409999999999997</v>
      </c>
      <c r="K29" s="340">
        <f t="shared" si="3"/>
        <v>53.88</v>
      </c>
      <c r="L29" s="253">
        <f t="shared" si="4"/>
        <v>53.88</v>
      </c>
    </row>
    <row r="30" spans="1:12" ht="24" x14ac:dyDescent="0.25">
      <c r="A30" s="261">
        <v>11</v>
      </c>
      <c r="B30" s="262" t="s">
        <v>216</v>
      </c>
      <c r="C30" s="244" t="s">
        <v>206</v>
      </c>
      <c r="D30" s="333">
        <v>3</v>
      </c>
      <c r="E30" s="334">
        <v>5</v>
      </c>
      <c r="F30" s="245">
        <v>5</v>
      </c>
      <c r="G30" s="402">
        <v>5.29</v>
      </c>
      <c r="H30" s="622">
        <f t="shared" si="0"/>
        <v>1.8514999999999999</v>
      </c>
      <c r="I30" s="622">
        <f t="shared" si="1"/>
        <v>7.14</v>
      </c>
      <c r="J30" s="335">
        <f t="shared" si="2"/>
        <v>21.42</v>
      </c>
      <c r="K30" s="336">
        <f t="shared" si="3"/>
        <v>35.700000000000003</v>
      </c>
      <c r="L30" s="247">
        <f t="shared" si="4"/>
        <v>35.700000000000003</v>
      </c>
    </row>
    <row r="31" spans="1:12" x14ac:dyDescent="0.25">
      <c r="A31" s="248">
        <v>12</v>
      </c>
      <c r="B31" s="249" t="s">
        <v>217</v>
      </c>
      <c r="C31" s="250" t="s">
        <v>202</v>
      </c>
      <c r="D31" s="337">
        <v>4</v>
      </c>
      <c r="E31" s="338">
        <v>6</v>
      </c>
      <c r="F31" s="251">
        <v>6</v>
      </c>
      <c r="G31" s="403">
        <v>4.18</v>
      </c>
      <c r="H31" s="623">
        <f t="shared" si="0"/>
        <v>1.4629999999999999</v>
      </c>
      <c r="I31" s="623">
        <f t="shared" si="1"/>
        <v>5.64</v>
      </c>
      <c r="J31" s="339">
        <f t="shared" si="2"/>
        <v>22.56</v>
      </c>
      <c r="K31" s="340">
        <f t="shared" si="3"/>
        <v>33.840000000000003</v>
      </c>
      <c r="L31" s="253">
        <f t="shared" si="4"/>
        <v>33.840000000000003</v>
      </c>
    </row>
    <row r="32" spans="1:12" x14ac:dyDescent="0.25">
      <c r="A32" s="261">
        <v>13</v>
      </c>
      <c r="B32" s="262" t="s">
        <v>218</v>
      </c>
      <c r="C32" s="244" t="s">
        <v>206</v>
      </c>
      <c r="D32" s="333">
        <v>1</v>
      </c>
      <c r="E32" s="334">
        <v>2</v>
      </c>
      <c r="F32" s="245">
        <v>2</v>
      </c>
      <c r="G32" s="402">
        <v>4.7300000000000004</v>
      </c>
      <c r="H32" s="622">
        <f t="shared" si="0"/>
        <v>1.6555</v>
      </c>
      <c r="I32" s="622">
        <f t="shared" si="1"/>
        <v>6.39</v>
      </c>
      <c r="J32" s="335">
        <f t="shared" si="2"/>
        <v>6.39</v>
      </c>
      <c r="K32" s="336">
        <f t="shared" si="3"/>
        <v>12.78</v>
      </c>
      <c r="L32" s="247">
        <f t="shared" si="4"/>
        <v>12.78</v>
      </c>
    </row>
    <row r="33" spans="1:12" ht="36" x14ac:dyDescent="0.25">
      <c r="A33" s="248">
        <v>14</v>
      </c>
      <c r="B33" s="264" t="s">
        <v>219</v>
      </c>
      <c r="C33" s="250" t="s">
        <v>220</v>
      </c>
      <c r="D33" s="337">
        <v>2</v>
      </c>
      <c r="E33" s="338">
        <v>2</v>
      </c>
      <c r="F33" s="251">
        <v>2</v>
      </c>
      <c r="G33" s="403">
        <v>10.77</v>
      </c>
      <c r="H33" s="623">
        <f t="shared" si="0"/>
        <v>3.7694999999999994</v>
      </c>
      <c r="I33" s="623">
        <f t="shared" si="1"/>
        <v>14.54</v>
      </c>
      <c r="J33" s="339">
        <f t="shared" si="2"/>
        <v>29.08</v>
      </c>
      <c r="K33" s="340">
        <f t="shared" si="3"/>
        <v>29.08</v>
      </c>
      <c r="L33" s="253">
        <f t="shared" si="4"/>
        <v>29.08</v>
      </c>
    </row>
    <row r="34" spans="1:12" ht="36" x14ac:dyDescent="0.25">
      <c r="A34" s="261">
        <v>15</v>
      </c>
      <c r="B34" s="243" t="s">
        <v>221</v>
      </c>
      <c r="C34" s="244" t="s">
        <v>220</v>
      </c>
      <c r="D34" s="333">
        <v>2</v>
      </c>
      <c r="E34" s="334">
        <v>2</v>
      </c>
      <c r="F34" s="245">
        <v>2</v>
      </c>
      <c r="G34" s="402">
        <v>10.74</v>
      </c>
      <c r="H34" s="622">
        <f t="shared" si="0"/>
        <v>3.7589999999999999</v>
      </c>
      <c r="I34" s="622">
        <f t="shared" si="1"/>
        <v>14.5</v>
      </c>
      <c r="J34" s="335">
        <f t="shared" si="2"/>
        <v>29</v>
      </c>
      <c r="K34" s="336">
        <f t="shared" si="3"/>
        <v>29</v>
      </c>
      <c r="L34" s="247">
        <f t="shared" si="4"/>
        <v>29</v>
      </c>
    </row>
    <row r="35" spans="1:12" ht="24" x14ac:dyDescent="0.25">
      <c r="A35" s="248">
        <v>16</v>
      </c>
      <c r="B35" s="249" t="s">
        <v>222</v>
      </c>
      <c r="C35" s="250" t="s">
        <v>206</v>
      </c>
      <c r="D35" s="337">
        <v>3</v>
      </c>
      <c r="E35" s="338">
        <v>4</v>
      </c>
      <c r="F35" s="251">
        <v>4</v>
      </c>
      <c r="G35" s="403">
        <v>15.5</v>
      </c>
      <c r="H35" s="623">
        <f t="shared" si="0"/>
        <v>5.4249999999999998</v>
      </c>
      <c r="I35" s="623">
        <f t="shared" si="1"/>
        <v>20.93</v>
      </c>
      <c r="J35" s="339">
        <f t="shared" si="2"/>
        <v>62.79</v>
      </c>
      <c r="K35" s="340">
        <f t="shared" si="3"/>
        <v>83.72</v>
      </c>
      <c r="L35" s="253">
        <f t="shared" si="4"/>
        <v>83.72</v>
      </c>
    </row>
    <row r="36" spans="1:12" ht="24" x14ac:dyDescent="0.25">
      <c r="A36" s="261">
        <v>17</v>
      </c>
      <c r="B36" s="243" t="s">
        <v>223</v>
      </c>
      <c r="C36" s="244" t="s">
        <v>202</v>
      </c>
      <c r="D36" s="333">
        <v>3</v>
      </c>
      <c r="E36" s="334">
        <v>4</v>
      </c>
      <c r="F36" s="245">
        <v>4</v>
      </c>
      <c r="G36" s="402">
        <v>3.73</v>
      </c>
      <c r="H36" s="622">
        <f t="shared" si="0"/>
        <v>1.3054999999999999</v>
      </c>
      <c r="I36" s="622">
        <f t="shared" si="1"/>
        <v>5.04</v>
      </c>
      <c r="J36" s="335">
        <f t="shared" si="2"/>
        <v>15.12</v>
      </c>
      <c r="K36" s="336">
        <f t="shared" si="3"/>
        <v>20.16</v>
      </c>
      <c r="L36" s="247">
        <f t="shared" si="4"/>
        <v>20.16</v>
      </c>
    </row>
    <row r="37" spans="1:12" ht="24" x14ac:dyDescent="0.25">
      <c r="A37" s="248">
        <v>18</v>
      </c>
      <c r="B37" s="249" t="s">
        <v>224</v>
      </c>
      <c r="C37" s="250" t="s">
        <v>202</v>
      </c>
      <c r="D37" s="337">
        <v>2</v>
      </c>
      <c r="E37" s="338">
        <v>4</v>
      </c>
      <c r="F37" s="251">
        <v>4</v>
      </c>
      <c r="G37" s="403">
        <v>4.5599999999999996</v>
      </c>
      <c r="H37" s="623">
        <f t="shared" si="0"/>
        <v>1.5959999999999999</v>
      </c>
      <c r="I37" s="623">
        <f t="shared" si="1"/>
        <v>6.16</v>
      </c>
      <c r="J37" s="339">
        <f t="shared" si="2"/>
        <v>12.32</v>
      </c>
      <c r="K37" s="340">
        <f t="shared" si="3"/>
        <v>24.64</v>
      </c>
      <c r="L37" s="253">
        <f t="shared" si="4"/>
        <v>24.64</v>
      </c>
    </row>
    <row r="38" spans="1:12" ht="48" x14ac:dyDescent="0.25">
      <c r="A38" s="261">
        <v>19</v>
      </c>
      <c r="B38" s="243" t="s">
        <v>225</v>
      </c>
      <c r="C38" s="244" t="s">
        <v>226</v>
      </c>
      <c r="D38" s="333">
        <v>6</v>
      </c>
      <c r="E38" s="334">
        <v>10</v>
      </c>
      <c r="F38" s="245">
        <v>10</v>
      </c>
      <c r="G38" s="402">
        <v>14.25</v>
      </c>
      <c r="H38" s="622">
        <f t="shared" si="0"/>
        <v>4.9874999999999998</v>
      </c>
      <c r="I38" s="622">
        <f t="shared" si="1"/>
        <v>19.239999999999998</v>
      </c>
      <c r="J38" s="335">
        <f t="shared" si="2"/>
        <v>115.44</v>
      </c>
      <c r="K38" s="336">
        <f t="shared" si="3"/>
        <v>192.4</v>
      </c>
      <c r="L38" s="247">
        <f t="shared" si="4"/>
        <v>192.4</v>
      </c>
    </row>
    <row r="39" spans="1:12" ht="72" x14ac:dyDescent="0.25">
      <c r="A39" s="248">
        <v>20</v>
      </c>
      <c r="B39" s="264" t="s">
        <v>227</v>
      </c>
      <c r="C39" s="250" t="s">
        <v>228</v>
      </c>
      <c r="D39" s="337">
        <v>4</v>
      </c>
      <c r="E39" s="338">
        <v>6</v>
      </c>
      <c r="F39" s="251">
        <v>6</v>
      </c>
      <c r="G39" s="403">
        <v>52.559999999999995</v>
      </c>
      <c r="H39" s="623">
        <f t="shared" si="0"/>
        <v>18.395999999999997</v>
      </c>
      <c r="I39" s="623">
        <f t="shared" si="1"/>
        <v>70.959999999999994</v>
      </c>
      <c r="J39" s="339">
        <f t="shared" si="2"/>
        <v>283.83999999999997</v>
      </c>
      <c r="K39" s="340">
        <f t="shared" si="3"/>
        <v>425.76</v>
      </c>
      <c r="L39" s="253">
        <f t="shared" si="4"/>
        <v>425.76</v>
      </c>
    </row>
    <row r="40" spans="1:12" ht="24" x14ac:dyDescent="0.25">
      <c r="A40" s="261">
        <v>21</v>
      </c>
      <c r="B40" s="304" t="s">
        <v>296</v>
      </c>
      <c r="C40" s="244" t="s">
        <v>202</v>
      </c>
      <c r="D40" s="333">
        <v>8</v>
      </c>
      <c r="E40" s="334">
        <v>8</v>
      </c>
      <c r="F40" s="245">
        <v>6</v>
      </c>
      <c r="G40" s="402">
        <v>1.4</v>
      </c>
      <c r="H40" s="622">
        <f t="shared" si="0"/>
        <v>0.48999999999999994</v>
      </c>
      <c r="I40" s="622">
        <f t="shared" si="1"/>
        <v>1.89</v>
      </c>
      <c r="J40" s="335">
        <f t="shared" si="2"/>
        <v>15.12</v>
      </c>
      <c r="K40" s="336">
        <f t="shared" si="3"/>
        <v>15.12</v>
      </c>
      <c r="L40" s="247">
        <f t="shared" si="4"/>
        <v>11.34</v>
      </c>
    </row>
    <row r="41" spans="1:12" ht="48" x14ac:dyDescent="0.25">
      <c r="A41" s="248">
        <v>22</v>
      </c>
      <c r="B41" s="264" t="s">
        <v>229</v>
      </c>
      <c r="C41" s="250" t="s">
        <v>206</v>
      </c>
      <c r="D41" s="337">
        <v>1</v>
      </c>
      <c r="E41" s="338">
        <v>1</v>
      </c>
      <c r="F41" s="251">
        <v>1</v>
      </c>
      <c r="G41" s="403">
        <v>13.110000000000001</v>
      </c>
      <c r="H41" s="623">
        <f t="shared" si="0"/>
        <v>4.5884999999999998</v>
      </c>
      <c r="I41" s="623">
        <f t="shared" si="1"/>
        <v>17.7</v>
      </c>
      <c r="J41" s="339">
        <f t="shared" si="2"/>
        <v>17.7</v>
      </c>
      <c r="K41" s="340">
        <f t="shared" si="3"/>
        <v>17.7</v>
      </c>
      <c r="L41" s="253">
        <f t="shared" si="4"/>
        <v>17.7</v>
      </c>
    </row>
    <row r="42" spans="1:12" ht="24" x14ac:dyDescent="0.25">
      <c r="A42" s="261">
        <v>23</v>
      </c>
      <c r="B42" s="304" t="s">
        <v>230</v>
      </c>
      <c r="C42" s="244" t="s">
        <v>211</v>
      </c>
      <c r="D42" s="333">
        <v>1</v>
      </c>
      <c r="E42" s="334">
        <v>1</v>
      </c>
      <c r="F42" s="245">
        <v>1</v>
      </c>
      <c r="G42" s="402">
        <v>17.100000000000001</v>
      </c>
      <c r="H42" s="622">
        <f t="shared" si="0"/>
        <v>5.9850000000000003</v>
      </c>
      <c r="I42" s="622">
        <f t="shared" si="1"/>
        <v>23.09</v>
      </c>
      <c r="J42" s="335">
        <f t="shared" si="2"/>
        <v>23.09</v>
      </c>
      <c r="K42" s="336">
        <f t="shared" si="3"/>
        <v>23.09</v>
      </c>
      <c r="L42" s="247">
        <f t="shared" si="4"/>
        <v>23.09</v>
      </c>
    </row>
    <row r="43" spans="1:12" ht="24" x14ac:dyDescent="0.25">
      <c r="A43" s="248">
        <v>24</v>
      </c>
      <c r="B43" s="264" t="s">
        <v>231</v>
      </c>
      <c r="C43" s="250" t="s">
        <v>211</v>
      </c>
      <c r="D43" s="337">
        <v>2</v>
      </c>
      <c r="E43" s="338">
        <v>2</v>
      </c>
      <c r="F43" s="251">
        <v>2</v>
      </c>
      <c r="G43" s="403">
        <v>18.690000000000001</v>
      </c>
      <c r="H43" s="623">
        <f t="shared" si="0"/>
        <v>6.5415000000000001</v>
      </c>
      <c r="I43" s="623">
        <f t="shared" si="1"/>
        <v>25.23</v>
      </c>
      <c r="J43" s="339">
        <f t="shared" si="2"/>
        <v>50.46</v>
      </c>
      <c r="K43" s="340">
        <f t="shared" si="3"/>
        <v>50.46</v>
      </c>
      <c r="L43" s="253">
        <f t="shared" si="4"/>
        <v>50.46</v>
      </c>
    </row>
    <row r="44" spans="1:12" ht="36" x14ac:dyDescent="0.25">
      <c r="A44" s="261">
        <v>25</v>
      </c>
      <c r="B44" s="341" t="s">
        <v>232</v>
      </c>
      <c r="C44" s="254" t="s">
        <v>204</v>
      </c>
      <c r="D44" s="342">
        <v>4</v>
      </c>
      <c r="E44" s="343">
        <v>6</v>
      </c>
      <c r="F44" s="255">
        <v>6</v>
      </c>
      <c r="G44" s="403">
        <v>3.78</v>
      </c>
      <c r="H44" s="622">
        <f t="shared" si="0"/>
        <v>1.323</v>
      </c>
      <c r="I44" s="622">
        <f t="shared" si="1"/>
        <v>5.0999999999999996</v>
      </c>
      <c r="J44" s="335">
        <f t="shared" si="2"/>
        <v>20.399999999999999</v>
      </c>
      <c r="K44" s="336">
        <f t="shared" si="3"/>
        <v>30.6</v>
      </c>
      <c r="L44" s="247">
        <f t="shared" si="4"/>
        <v>30.6</v>
      </c>
    </row>
    <row r="45" spans="1:12" ht="36" x14ac:dyDescent="0.25">
      <c r="A45" s="248">
        <v>26</v>
      </c>
      <c r="B45" s="264" t="s">
        <v>233</v>
      </c>
      <c r="C45" s="250" t="s">
        <v>211</v>
      </c>
      <c r="D45" s="337">
        <v>1</v>
      </c>
      <c r="E45" s="338">
        <v>2</v>
      </c>
      <c r="F45" s="251">
        <v>2</v>
      </c>
      <c r="G45" s="403">
        <v>15.85</v>
      </c>
      <c r="H45" s="623">
        <f t="shared" si="0"/>
        <v>5.5474999999999994</v>
      </c>
      <c r="I45" s="623">
        <f t="shared" si="1"/>
        <v>21.4</v>
      </c>
      <c r="J45" s="339">
        <f t="shared" si="2"/>
        <v>21.4</v>
      </c>
      <c r="K45" s="340">
        <f t="shared" si="3"/>
        <v>42.8</v>
      </c>
      <c r="L45" s="253">
        <f t="shared" si="4"/>
        <v>42.8</v>
      </c>
    </row>
    <row r="46" spans="1:12" ht="36" x14ac:dyDescent="0.25">
      <c r="A46" s="261">
        <v>27</v>
      </c>
      <c r="B46" s="304" t="s">
        <v>234</v>
      </c>
      <c r="C46" s="244" t="s">
        <v>211</v>
      </c>
      <c r="D46" s="333">
        <v>1</v>
      </c>
      <c r="E46" s="334">
        <v>2</v>
      </c>
      <c r="F46" s="245">
        <v>2</v>
      </c>
      <c r="G46" s="402">
        <v>18.489999999999998</v>
      </c>
      <c r="H46" s="622">
        <f t="shared" si="0"/>
        <v>6.4714999999999989</v>
      </c>
      <c r="I46" s="622">
        <f t="shared" si="1"/>
        <v>24.96</v>
      </c>
      <c r="J46" s="335">
        <f t="shared" si="2"/>
        <v>24.96</v>
      </c>
      <c r="K46" s="336">
        <f t="shared" si="3"/>
        <v>49.92</v>
      </c>
      <c r="L46" s="247">
        <f t="shared" si="4"/>
        <v>49.92</v>
      </c>
    </row>
    <row r="47" spans="1:12" ht="36" x14ac:dyDescent="0.25">
      <c r="A47" s="248">
        <v>28</v>
      </c>
      <c r="B47" s="264" t="s">
        <v>235</v>
      </c>
      <c r="C47" s="250" t="s">
        <v>211</v>
      </c>
      <c r="D47" s="337">
        <v>1</v>
      </c>
      <c r="E47" s="338">
        <v>1</v>
      </c>
      <c r="F47" s="251">
        <v>1</v>
      </c>
      <c r="G47" s="403">
        <v>31.46</v>
      </c>
      <c r="H47" s="623">
        <f t="shared" si="0"/>
        <v>11.010999999999999</v>
      </c>
      <c r="I47" s="623">
        <f t="shared" si="1"/>
        <v>42.47</v>
      </c>
      <c r="J47" s="339">
        <f t="shared" si="2"/>
        <v>42.47</v>
      </c>
      <c r="K47" s="340">
        <f t="shared" si="3"/>
        <v>42.47</v>
      </c>
      <c r="L47" s="253">
        <f t="shared" si="4"/>
        <v>42.47</v>
      </c>
    </row>
    <row r="48" spans="1:12" x14ac:dyDescent="0.25">
      <c r="A48" s="257"/>
      <c r="B48" s="257"/>
      <c r="C48" s="1208" t="s">
        <v>380</v>
      </c>
      <c r="D48" s="1208"/>
      <c r="E48" s="1208"/>
      <c r="F48" s="1208"/>
      <c r="G48" s="1208"/>
      <c r="H48" s="1208"/>
      <c r="I48" s="1210"/>
      <c r="J48" s="323">
        <f>SUM(J20:J47)</f>
        <v>1041.99</v>
      </c>
      <c r="K48" s="344">
        <f>SUM(K20:K47)</f>
        <v>1490.6499999999996</v>
      </c>
      <c r="L48" s="344">
        <f>SUM(L20:L47)</f>
        <v>1486.8699999999997</v>
      </c>
    </row>
    <row r="49" spans="1:12" ht="16.5" thickBot="1" x14ac:dyDescent="0.3">
      <c r="A49" s="683" t="s">
        <v>394</v>
      </c>
      <c r="B49" s="684"/>
      <c r="C49" s="685"/>
      <c r="D49" s="686"/>
      <c r="E49" s="599"/>
      <c r="F49" s="599"/>
      <c r="G49" s="687"/>
      <c r="H49" s="687"/>
      <c r="I49" s="687"/>
      <c r="J49" s="687"/>
      <c r="K49" s="687"/>
      <c r="L49" s="687"/>
    </row>
    <row r="50" spans="1:12" ht="24.75" thickTop="1" x14ac:dyDescent="0.25">
      <c r="A50" s="675">
        <v>1</v>
      </c>
      <c r="B50" s="676" t="s">
        <v>237</v>
      </c>
      <c r="C50" s="677" t="s">
        <v>238</v>
      </c>
      <c r="D50" s="678">
        <v>2</v>
      </c>
      <c r="E50" s="679">
        <v>1</v>
      </c>
      <c r="F50" s="680">
        <v>1</v>
      </c>
      <c r="G50" s="404">
        <v>144.51</v>
      </c>
      <c r="H50" s="681">
        <f>G50*$H$15</f>
        <v>50.578499999999991</v>
      </c>
      <c r="I50" s="682">
        <f>ROUND(G50+H50,2)</f>
        <v>195.09</v>
      </c>
      <c r="J50" s="347">
        <f>ROUND((D50*I50),2)/12</f>
        <v>32.515000000000001</v>
      </c>
      <c r="K50" s="348">
        <f>ROUND((E50*I50),2)/12</f>
        <v>16.2575</v>
      </c>
      <c r="L50" s="349">
        <f>ROUND((F50*I50),2)/12</f>
        <v>16.2575</v>
      </c>
    </row>
    <row r="51" spans="1:12" ht="24" x14ac:dyDescent="0.25">
      <c r="A51" s="248">
        <v>2</v>
      </c>
      <c r="B51" s="264" t="s">
        <v>239</v>
      </c>
      <c r="C51" s="250" t="s">
        <v>238</v>
      </c>
      <c r="D51" s="337">
        <v>1</v>
      </c>
      <c r="E51" s="338">
        <v>1</v>
      </c>
      <c r="F51" s="251">
        <v>1</v>
      </c>
      <c r="G51" s="403">
        <v>42.56</v>
      </c>
      <c r="H51" s="623">
        <f t="shared" ref="H51:H53" si="5">G51*$H$15</f>
        <v>14.895999999999999</v>
      </c>
      <c r="I51" s="623">
        <f t="shared" ref="I51:I52" si="6">ROUND(G51+H51,2)</f>
        <v>57.46</v>
      </c>
      <c r="J51" s="350">
        <f>ROUND((D51*I51),2)/12</f>
        <v>4.7883333333333331</v>
      </c>
      <c r="K51" s="351">
        <f>ROUND((E51*I51),2)/12</f>
        <v>4.7883333333333331</v>
      </c>
      <c r="L51" s="352">
        <f>ROUND((F51*I51),2)/12</f>
        <v>4.7883333333333331</v>
      </c>
    </row>
    <row r="52" spans="1:12" x14ac:dyDescent="0.25">
      <c r="A52" s="353">
        <v>3</v>
      </c>
      <c r="B52" s="341" t="s">
        <v>240</v>
      </c>
      <c r="C52" s="254" t="s">
        <v>202</v>
      </c>
      <c r="D52" s="333">
        <v>3</v>
      </c>
      <c r="E52" s="334">
        <v>5</v>
      </c>
      <c r="F52" s="245">
        <v>5</v>
      </c>
      <c r="G52" s="403">
        <v>18.53</v>
      </c>
      <c r="H52" s="622">
        <f t="shared" si="5"/>
        <v>6.4855</v>
      </c>
      <c r="I52" s="622">
        <f t="shared" si="6"/>
        <v>25.02</v>
      </c>
      <c r="J52" s="347">
        <f>ROUND((D52*I52),2)/12</f>
        <v>6.2549999999999999</v>
      </c>
      <c r="K52" s="348">
        <f>ROUND((E52*I52),2)/12</f>
        <v>10.424999999999999</v>
      </c>
      <c r="L52" s="349">
        <f>ROUND((F52*I52),2)/12</f>
        <v>10.424999999999999</v>
      </c>
    </row>
    <row r="53" spans="1:12" x14ac:dyDescent="0.25">
      <c r="A53" s="266">
        <v>4</v>
      </c>
      <c r="B53" s="249" t="s">
        <v>241</v>
      </c>
      <c r="C53" s="267" t="s">
        <v>202</v>
      </c>
      <c r="D53" s="337">
        <v>3</v>
      </c>
      <c r="E53" s="338">
        <v>5</v>
      </c>
      <c r="F53" s="251">
        <v>5</v>
      </c>
      <c r="G53" s="403">
        <v>30.020000000000003</v>
      </c>
      <c r="H53" s="623">
        <f t="shared" si="5"/>
        <v>10.507</v>
      </c>
      <c r="I53" s="623">
        <f t="shared" ref="I53" si="7">ROUND(G53+H53,2)</f>
        <v>40.53</v>
      </c>
      <c r="J53" s="350">
        <f>ROUND((D53*I53),2)/12</f>
        <v>10.1325</v>
      </c>
      <c r="K53" s="351">
        <f>ROUND((E53*I53),2)/12</f>
        <v>16.887499999999999</v>
      </c>
      <c r="L53" s="352">
        <f>ROUND((F53*I53),2)/12</f>
        <v>16.887499999999999</v>
      </c>
    </row>
    <row r="54" spans="1:12" x14ac:dyDescent="0.25">
      <c r="A54" s="289"/>
      <c r="B54" s="289"/>
      <c r="C54" s="1208" t="s">
        <v>380</v>
      </c>
      <c r="D54" s="1208"/>
      <c r="E54" s="1208"/>
      <c r="F54" s="1208"/>
      <c r="G54" s="1208"/>
      <c r="H54" s="1208"/>
      <c r="I54" s="1209"/>
      <c r="J54" s="327">
        <f>SUM(J50:J53)</f>
        <v>53.690833333333337</v>
      </c>
      <c r="K54" s="327">
        <f>SUM(K50:K53)</f>
        <v>48.358333333333334</v>
      </c>
      <c r="L54" s="327">
        <f>SUM(L50:L53)</f>
        <v>48.358333333333334</v>
      </c>
    </row>
    <row r="55" spans="1:12" x14ac:dyDescent="0.25">
      <c r="A55" s="289"/>
      <c r="B55" s="289"/>
      <c r="C55" s="289"/>
      <c r="D55" s="294"/>
      <c r="E55" s="294"/>
      <c r="F55" s="294"/>
      <c r="G55" s="280"/>
      <c r="H55" s="280"/>
      <c r="I55" s="280"/>
      <c r="J55" s="280"/>
      <c r="K55" s="280"/>
      <c r="L55" s="280"/>
    </row>
    <row r="56" spans="1:12" ht="15.75" thickBot="1" x14ac:dyDescent="0.3">
      <c r="A56" s="289"/>
      <c r="B56" s="289"/>
      <c r="C56" s="289"/>
      <c r="D56" s="294"/>
      <c r="E56" s="294"/>
      <c r="F56" s="294"/>
      <c r="G56" s="280"/>
      <c r="H56" s="280"/>
      <c r="I56" s="280"/>
      <c r="J56" s="357" t="s">
        <v>242</v>
      </c>
      <c r="K56" s="357" t="s">
        <v>243</v>
      </c>
      <c r="L56" s="357" t="s">
        <v>244</v>
      </c>
    </row>
    <row r="57" spans="1:12" ht="15.75" thickBot="1" x14ac:dyDescent="0.3">
      <c r="A57" s="289"/>
      <c r="B57" s="289"/>
      <c r="C57" s="289"/>
      <c r="D57" s="1189" t="s">
        <v>381</v>
      </c>
      <c r="E57" s="1189"/>
      <c r="F57" s="1189"/>
      <c r="G57" s="1189"/>
      <c r="H57" s="1189"/>
      <c r="I57" s="1190"/>
      <c r="J57" s="358">
        <f>J54+J48</f>
        <v>1095.6808333333333</v>
      </c>
      <c r="K57" s="358">
        <f>K54+K48</f>
        <v>1539.008333333333</v>
      </c>
      <c r="L57" s="358">
        <f>L54+L48</f>
        <v>1535.228333333333</v>
      </c>
    </row>
    <row r="58" spans="1:12" ht="16.5" thickBot="1" x14ac:dyDescent="0.3">
      <c r="A58" s="1202" t="s">
        <v>245</v>
      </c>
      <c r="B58" s="1203"/>
      <c r="C58" s="1204"/>
      <c r="D58" s="1205"/>
      <c r="E58" s="599"/>
      <c r="F58" s="599"/>
      <c r="G58" s="688"/>
      <c r="H58" s="688"/>
      <c r="I58" s="688"/>
      <c r="J58" s="688"/>
      <c r="K58" s="688"/>
      <c r="L58" s="688"/>
    </row>
    <row r="59" spans="1:12" ht="36.75" thickTop="1" x14ac:dyDescent="0.25">
      <c r="A59" s="671" t="s">
        <v>109</v>
      </c>
      <c r="B59" s="671" t="s">
        <v>201</v>
      </c>
      <c r="C59" s="671" t="s">
        <v>202</v>
      </c>
      <c r="D59" s="672" t="s">
        <v>382</v>
      </c>
      <c r="E59" s="672" t="s">
        <v>383</v>
      </c>
      <c r="F59" s="672" t="s">
        <v>384</v>
      </c>
      <c r="G59" s="578" t="s">
        <v>39</v>
      </c>
      <c r="H59" s="578" t="s">
        <v>423</v>
      </c>
      <c r="I59" s="578" t="s">
        <v>426</v>
      </c>
      <c r="J59" s="578" t="s">
        <v>377</v>
      </c>
      <c r="K59" s="578" t="s">
        <v>378</v>
      </c>
      <c r="L59" s="578" t="s">
        <v>379</v>
      </c>
    </row>
    <row r="60" spans="1:12" ht="36" x14ac:dyDescent="0.25">
      <c r="A60" s="261">
        <v>1</v>
      </c>
      <c r="B60" s="262" t="s">
        <v>246</v>
      </c>
      <c r="C60" s="244" t="s">
        <v>211</v>
      </c>
      <c r="D60" s="333">
        <v>2</v>
      </c>
      <c r="E60" s="334">
        <v>2</v>
      </c>
      <c r="F60" s="245">
        <v>3</v>
      </c>
      <c r="G60" s="405">
        <v>21.9</v>
      </c>
      <c r="H60" s="622">
        <f t="shared" ref="H60:H65" si="8">G60*$H$15</f>
        <v>7.6649999999999991</v>
      </c>
      <c r="I60" s="622">
        <f t="shared" ref="I60:I61" si="9">ROUND(G60+H60,2)</f>
        <v>29.57</v>
      </c>
      <c r="J60" s="354">
        <f>ROUND(D60*I60,2)</f>
        <v>59.14</v>
      </c>
      <c r="K60" s="355">
        <f>ROUND(E60*I60,2)</f>
        <v>59.14</v>
      </c>
      <c r="L60" s="356">
        <f>ROUND(F60*I60,2)</f>
        <v>88.71</v>
      </c>
    </row>
    <row r="61" spans="1:12" ht="36" x14ac:dyDescent="0.25">
      <c r="A61" s="248">
        <v>2</v>
      </c>
      <c r="B61" s="264" t="s">
        <v>247</v>
      </c>
      <c r="C61" s="250" t="s">
        <v>211</v>
      </c>
      <c r="D61" s="337">
        <v>6</v>
      </c>
      <c r="E61" s="338">
        <v>6</v>
      </c>
      <c r="F61" s="251">
        <v>8</v>
      </c>
      <c r="G61" s="403">
        <v>18.579999999999998</v>
      </c>
      <c r="H61" s="623">
        <f t="shared" si="8"/>
        <v>6.5029999999999992</v>
      </c>
      <c r="I61" s="623">
        <f t="shared" si="9"/>
        <v>25.08</v>
      </c>
      <c r="J61" s="350">
        <f>ROUND(D61*I61,2)</f>
        <v>150.47999999999999</v>
      </c>
      <c r="K61" s="351">
        <f>ROUND(E61*I61,2)</f>
        <v>150.47999999999999</v>
      </c>
      <c r="L61" s="352">
        <f>ROUND(F61*I61,2)</f>
        <v>200.64</v>
      </c>
    </row>
    <row r="62" spans="1:12" ht="36" x14ac:dyDescent="0.25">
      <c r="A62" s="261">
        <v>3</v>
      </c>
      <c r="B62" s="262" t="s">
        <v>248</v>
      </c>
      <c r="C62" s="244" t="s">
        <v>228</v>
      </c>
      <c r="D62" s="333">
        <v>15</v>
      </c>
      <c r="E62" s="334">
        <v>15</v>
      </c>
      <c r="F62" s="245">
        <v>25</v>
      </c>
      <c r="G62" s="405">
        <v>3.62</v>
      </c>
      <c r="H62" s="622">
        <f t="shared" si="8"/>
        <v>1.2669999999999999</v>
      </c>
      <c r="I62" s="622">
        <f t="shared" ref="I62:I65" si="10">ROUND(G62+H62,2)</f>
        <v>4.8899999999999997</v>
      </c>
      <c r="J62" s="354">
        <f t="shared" ref="J62:J65" si="11">ROUND(D62*I62,2)</f>
        <v>73.349999999999994</v>
      </c>
      <c r="K62" s="355">
        <f t="shared" ref="K62:K65" si="12">ROUND(E62*I62,2)</f>
        <v>73.349999999999994</v>
      </c>
      <c r="L62" s="356">
        <f t="shared" ref="L62:L65" si="13">ROUND(F62*I62,2)</f>
        <v>122.25</v>
      </c>
    </row>
    <row r="63" spans="1:12" ht="24" x14ac:dyDescent="0.25">
      <c r="A63" s="266">
        <v>4</v>
      </c>
      <c r="B63" s="249" t="s">
        <v>249</v>
      </c>
      <c r="C63" s="267" t="s">
        <v>228</v>
      </c>
      <c r="D63" s="333">
        <v>2</v>
      </c>
      <c r="E63" s="334">
        <v>2</v>
      </c>
      <c r="F63" s="245">
        <v>4</v>
      </c>
      <c r="G63" s="405">
        <v>5.14</v>
      </c>
      <c r="H63" s="623">
        <f t="shared" si="8"/>
        <v>1.7989999999999997</v>
      </c>
      <c r="I63" s="623">
        <f t="shared" si="10"/>
        <v>6.94</v>
      </c>
      <c r="J63" s="350">
        <f t="shared" si="11"/>
        <v>13.88</v>
      </c>
      <c r="K63" s="351">
        <f t="shared" si="12"/>
        <v>13.88</v>
      </c>
      <c r="L63" s="352">
        <f t="shared" si="13"/>
        <v>27.76</v>
      </c>
    </row>
    <row r="64" spans="1:12" ht="24" x14ac:dyDescent="0.25">
      <c r="A64" s="353">
        <v>5</v>
      </c>
      <c r="B64" s="341" t="s">
        <v>250</v>
      </c>
      <c r="C64" s="254" t="s">
        <v>251</v>
      </c>
      <c r="D64" s="337">
        <v>0.2</v>
      </c>
      <c r="E64" s="338">
        <v>0.2</v>
      </c>
      <c r="F64" s="251">
        <v>0</v>
      </c>
      <c r="G64" s="403">
        <v>110.71</v>
      </c>
      <c r="H64" s="622">
        <f t="shared" si="8"/>
        <v>38.748499999999993</v>
      </c>
      <c r="I64" s="622">
        <f t="shared" si="10"/>
        <v>149.46</v>
      </c>
      <c r="J64" s="354">
        <f t="shared" si="11"/>
        <v>29.89</v>
      </c>
      <c r="K64" s="355">
        <f t="shared" si="12"/>
        <v>29.89</v>
      </c>
      <c r="L64" s="356">
        <f t="shared" si="13"/>
        <v>0</v>
      </c>
    </row>
    <row r="65" spans="1:12" ht="24" x14ac:dyDescent="0.25">
      <c r="A65" s="266">
        <v>6</v>
      </c>
      <c r="B65" s="249" t="s">
        <v>252</v>
      </c>
      <c r="C65" s="267" t="s">
        <v>251</v>
      </c>
      <c r="D65" s="333">
        <v>0</v>
      </c>
      <c r="E65" s="334">
        <v>0</v>
      </c>
      <c r="F65" s="245">
        <v>0.12</v>
      </c>
      <c r="G65" s="405">
        <v>390</v>
      </c>
      <c r="H65" s="623">
        <f t="shared" si="8"/>
        <v>136.5</v>
      </c>
      <c r="I65" s="623">
        <f t="shared" si="10"/>
        <v>526.5</v>
      </c>
      <c r="J65" s="350">
        <f t="shared" si="11"/>
        <v>0</v>
      </c>
      <c r="K65" s="351">
        <f t="shared" si="12"/>
        <v>0</v>
      </c>
      <c r="L65" s="352">
        <f t="shared" si="13"/>
        <v>63.18</v>
      </c>
    </row>
    <row r="66" spans="1:12" x14ac:dyDescent="0.25">
      <c r="A66" s="289"/>
      <c r="B66" s="289"/>
      <c r="C66" s="289"/>
      <c r="D66" s="1211" t="s">
        <v>380</v>
      </c>
      <c r="E66" s="1211"/>
      <c r="F66" s="1211"/>
      <c r="G66" s="1211"/>
      <c r="H66" s="1211"/>
      <c r="I66" s="1212"/>
      <c r="J66" s="359">
        <f>SUM(J60:J65)</f>
        <v>326.74</v>
      </c>
      <c r="K66" s="359">
        <f>SUM(K60:K65)</f>
        <v>326.74</v>
      </c>
      <c r="L66" s="359">
        <f>SUM(L60:L65)</f>
        <v>502.53999999999996</v>
      </c>
    </row>
    <row r="67" spans="1:12" x14ac:dyDescent="0.25">
      <c r="A67" s="289"/>
      <c r="B67" s="289"/>
      <c r="C67" s="289"/>
      <c r="D67" s="294"/>
      <c r="E67" s="294"/>
      <c r="F67" s="294"/>
      <c r="G67" s="280"/>
      <c r="H67" s="280"/>
      <c r="I67" s="280"/>
      <c r="J67" s="280"/>
      <c r="K67" s="280"/>
      <c r="L67" s="280"/>
    </row>
    <row r="68" spans="1:12" ht="15.75" thickBot="1" x14ac:dyDescent="0.3">
      <c r="A68" s="289"/>
      <c r="B68" s="289"/>
      <c r="C68" s="289"/>
      <c r="D68" s="294"/>
      <c r="E68" s="294"/>
      <c r="F68" s="294"/>
      <c r="G68" s="280"/>
      <c r="H68" s="280"/>
      <c r="I68" s="280"/>
      <c r="J68" s="357" t="s">
        <v>242</v>
      </c>
      <c r="K68" s="357" t="s">
        <v>243</v>
      </c>
      <c r="L68" s="357" t="s">
        <v>244</v>
      </c>
    </row>
    <row r="69" spans="1:12" ht="15.75" thickBot="1" x14ac:dyDescent="0.3">
      <c r="A69" s="289"/>
      <c r="B69" s="289"/>
      <c r="C69" s="289"/>
      <c r="D69" s="1189" t="s">
        <v>385</v>
      </c>
      <c r="E69" s="1189"/>
      <c r="F69" s="1189"/>
      <c r="G69" s="1189"/>
      <c r="H69" s="1189"/>
      <c r="I69" s="1190"/>
      <c r="J69" s="358">
        <f>J66</f>
        <v>326.74</v>
      </c>
      <c r="K69" s="358">
        <f>K66</f>
        <v>326.74</v>
      </c>
      <c r="L69" s="358">
        <f>L66</f>
        <v>502.53999999999996</v>
      </c>
    </row>
    <row r="70" spans="1:12" ht="30" customHeight="1" thickBot="1" x14ac:dyDescent="0.3">
      <c r="A70" s="689" t="s">
        <v>415</v>
      </c>
      <c r="B70" s="686"/>
      <c r="C70" s="685"/>
      <c r="D70" s="686"/>
      <c r="E70" s="599"/>
      <c r="F70" s="599"/>
      <c r="G70" s="688"/>
      <c r="H70" s="688"/>
      <c r="I70" s="688"/>
      <c r="J70" s="688"/>
      <c r="K70" s="280"/>
      <c r="L70" s="280"/>
    </row>
    <row r="71" spans="1:12" ht="39.950000000000003" customHeight="1" thickTop="1" x14ac:dyDescent="0.25">
      <c r="A71" s="671" t="s">
        <v>109</v>
      </c>
      <c r="B71" s="671" t="s">
        <v>201</v>
      </c>
      <c r="C71" s="579" t="s">
        <v>386</v>
      </c>
      <c r="D71" s="672" t="s">
        <v>254</v>
      </c>
      <c r="E71" s="1206" t="s">
        <v>414</v>
      </c>
      <c r="F71" s="1207"/>
      <c r="G71" s="579" t="s">
        <v>39</v>
      </c>
      <c r="H71" s="578" t="s">
        <v>423</v>
      </c>
      <c r="I71" s="578" t="s">
        <v>426</v>
      </c>
      <c r="J71" s="578" t="s">
        <v>387</v>
      </c>
      <c r="K71" s="361"/>
      <c r="L71" s="362"/>
    </row>
    <row r="72" spans="1:12" x14ac:dyDescent="0.25">
      <c r="A72" s="261">
        <v>1</v>
      </c>
      <c r="B72" s="262" t="s">
        <v>256</v>
      </c>
      <c r="C72" s="244">
        <v>3</v>
      </c>
      <c r="D72" s="244">
        <v>6</v>
      </c>
      <c r="E72" s="1185">
        <f>24/D72</f>
        <v>4</v>
      </c>
      <c r="F72" s="1186"/>
      <c r="G72" s="406">
        <v>11.69</v>
      </c>
      <c r="H72" s="622">
        <f t="shared" ref="H72:H74" si="14">G72*$H$15</f>
        <v>4.0914999999999999</v>
      </c>
      <c r="I72" s="622">
        <f t="shared" ref="I72:I73" si="15">ROUND(G72+H72,2)</f>
        <v>15.78</v>
      </c>
      <c r="J72" s="363">
        <f>ROUND(((C72*I72)/D72),2)</f>
        <v>7.89</v>
      </c>
      <c r="K72" s="364"/>
      <c r="L72" s="365"/>
    </row>
    <row r="73" spans="1:12" x14ac:dyDescent="0.25">
      <c r="A73" s="248">
        <v>2</v>
      </c>
      <c r="B73" s="264" t="s">
        <v>257</v>
      </c>
      <c r="C73" s="250">
        <v>2</v>
      </c>
      <c r="D73" s="250">
        <v>6</v>
      </c>
      <c r="E73" s="1187">
        <f>24/D73</f>
        <v>4</v>
      </c>
      <c r="F73" s="1188"/>
      <c r="G73" s="407">
        <v>37.4</v>
      </c>
      <c r="H73" s="623">
        <f t="shared" si="14"/>
        <v>13.089999999999998</v>
      </c>
      <c r="I73" s="623">
        <f t="shared" si="15"/>
        <v>50.49</v>
      </c>
      <c r="J73" s="366">
        <f>ROUND(((C73*I73)/D73),2)</f>
        <v>16.829999999999998</v>
      </c>
      <c r="K73" s="364"/>
      <c r="L73" s="365"/>
    </row>
    <row r="74" spans="1:12" x14ac:dyDescent="0.25">
      <c r="A74" s="261">
        <v>3</v>
      </c>
      <c r="B74" s="262" t="s">
        <v>258</v>
      </c>
      <c r="C74" s="244">
        <v>2</v>
      </c>
      <c r="D74" s="244">
        <v>6</v>
      </c>
      <c r="E74" s="1185">
        <f>24/D74</f>
        <v>4</v>
      </c>
      <c r="F74" s="1186"/>
      <c r="G74" s="406">
        <v>8.84</v>
      </c>
      <c r="H74" s="622">
        <f t="shared" si="14"/>
        <v>3.0939999999999999</v>
      </c>
      <c r="I74" s="622">
        <f t="shared" ref="I74" si="16">ROUND(G74+H74,2)</f>
        <v>11.93</v>
      </c>
      <c r="J74" s="363">
        <f>ROUND(((C74*I74)/D74),2)</f>
        <v>3.98</v>
      </c>
      <c r="K74" s="364"/>
      <c r="L74" s="365"/>
    </row>
    <row r="75" spans="1:12" x14ac:dyDescent="0.25">
      <c r="A75" s="289"/>
      <c r="B75" s="289"/>
      <c r="C75" s="289"/>
      <c r="D75" s="290"/>
      <c r="E75" s="290"/>
      <c r="F75" s="290"/>
      <c r="G75" s="580">
        <f>(SUM(G72:G74))*(SUM('POSTOS e RESUMO'!$G$32:$G$34))</f>
        <v>2027.5499999999997</v>
      </c>
      <c r="H75" s="580"/>
      <c r="I75" s="368"/>
      <c r="J75" s="369">
        <f>SUM(J72:J74)</f>
        <v>28.7</v>
      </c>
      <c r="K75" s="370"/>
      <c r="L75" s="371"/>
    </row>
    <row r="76" spans="1:12" ht="16.5" thickBot="1" x14ac:dyDescent="0.3">
      <c r="A76" s="1191" t="s">
        <v>416</v>
      </c>
      <c r="B76" s="1192"/>
      <c r="C76" s="1193"/>
      <c r="D76" s="1194"/>
      <c r="E76" s="393"/>
      <c r="F76" s="393"/>
      <c r="G76" s="279"/>
      <c r="H76" s="279"/>
      <c r="I76" s="279"/>
      <c r="J76" s="279"/>
      <c r="K76" s="372"/>
      <c r="L76" s="372"/>
    </row>
    <row r="77" spans="1:12" ht="15.75" thickTop="1" x14ac:dyDescent="0.25">
      <c r="A77" s="261">
        <v>4</v>
      </c>
      <c r="B77" s="262" t="s">
        <v>259</v>
      </c>
      <c r="C77" s="244">
        <v>3</v>
      </c>
      <c r="D77" s="244">
        <v>12</v>
      </c>
      <c r="E77" s="1185">
        <f>24/D77</f>
        <v>2</v>
      </c>
      <c r="F77" s="1186"/>
      <c r="G77" s="406">
        <v>11.04</v>
      </c>
      <c r="H77" s="624">
        <f>G77*$H$15</f>
        <v>3.8639999999999994</v>
      </c>
      <c r="I77" s="625">
        <f>ROUND(G77+H77,2)</f>
        <v>14.9</v>
      </c>
      <c r="J77" s="363">
        <f>ROUND(((C77*I77)/D77),2)</f>
        <v>3.73</v>
      </c>
      <c r="K77" s="364"/>
      <c r="L77" s="365"/>
    </row>
    <row r="78" spans="1:12" ht="24" x14ac:dyDescent="0.25">
      <c r="A78" s="248">
        <v>5</v>
      </c>
      <c r="B78" s="264" t="s">
        <v>260</v>
      </c>
      <c r="C78" s="250">
        <v>2</v>
      </c>
      <c r="D78" s="250">
        <v>12</v>
      </c>
      <c r="E78" s="1187">
        <f>24/D78</f>
        <v>2</v>
      </c>
      <c r="F78" s="1188"/>
      <c r="G78" s="407">
        <v>5.99</v>
      </c>
      <c r="H78" s="623">
        <f t="shared" ref="H78:H84" si="17">G78*$H$15</f>
        <v>2.0964999999999998</v>
      </c>
      <c r="I78" s="623">
        <f t="shared" ref="I78:I79" si="18">ROUND(G78+H78,2)</f>
        <v>8.09</v>
      </c>
      <c r="J78" s="366">
        <f>ROUND(((C78*I78)/D78),2)</f>
        <v>1.35</v>
      </c>
      <c r="K78" s="364"/>
      <c r="L78" s="365"/>
    </row>
    <row r="79" spans="1:12" ht="24" x14ac:dyDescent="0.25">
      <c r="A79" s="261">
        <v>6</v>
      </c>
      <c r="B79" s="262" t="s">
        <v>261</v>
      </c>
      <c r="C79" s="244">
        <v>2</v>
      </c>
      <c r="D79" s="244">
        <v>12</v>
      </c>
      <c r="E79" s="1185">
        <f t="shared" ref="E79:E84" si="19">24/D79</f>
        <v>2</v>
      </c>
      <c r="F79" s="1186"/>
      <c r="G79" s="406">
        <v>9.76</v>
      </c>
      <c r="H79" s="622">
        <f t="shared" si="17"/>
        <v>3.4159999999999999</v>
      </c>
      <c r="I79" s="622">
        <f t="shared" si="18"/>
        <v>13.18</v>
      </c>
      <c r="J79" s="363">
        <f>ROUND(((C79*I79)/D79),2)</f>
        <v>2.2000000000000002</v>
      </c>
      <c r="K79" s="364"/>
      <c r="L79" s="365"/>
    </row>
    <row r="80" spans="1:12" x14ac:dyDescent="0.25">
      <c r="A80" s="248">
        <v>7</v>
      </c>
      <c r="B80" s="264" t="s">
        <v>262</v>
      </c>
      <c r="C80" s="250">
        <v>3</v>
      </c>
      <c r="D80" s="250">
        <v>12</v>
      </c>
      <c r="E80" s="1187">
        <f t="shared" si="19"/>
        <v>2</v>
      </c>
      <c r="F80" s="1188"/>
      <c r="G80" s="407">
        <v>7.53</v>
      </c>
      <c r="H80" s="623">
        <f t="shared" si="17"/>
        <v>2.6355</v>
      </c>
      <c r="I80" s="623">
        <f t="shared" ref="I80:I84" si="20">ROUND(G80+H80,2)</f>
        <v>10.17</v>
      </c>
      <c r="J80" s="366">
        <f t="shared" ref="J80:J84" si="21">ROUND(((C80*I80)/D80),2)</f>
        <v>2.54</v>
      </c>
      <c r="K80" s="364"/>
      <c r="L80" s="365"/>
    </row>
    <row r="81" spans="1:12" x14ac:dyDescent="0.25">
      <c r="A81" s="261">
        <v>8</v>
      </c>
      <c r="B81" s="262" t="s">
        <v>263</v>
      </c>
      <c r="C81" s="244">
        <v>1</v>
      </c>
      <c r="D81" s="244">
        <v>12</v>
      </c>
      <c r="E81" s="1185">
        <f t="shared" si="19"/>
        <v>2</v>
      </c>
      <c r="F81" s="1186"/>
      <c r="G81" s="406">
        <v>3.54</v>
      </c>
      <c r="H81" s="622">
        <f t="shared" si="17"/>
        <v>1.2389999999999999</v>
      </c>
      <c r="I81" s="622">
        <f t="shared" si="20"/>
        <v>4.78</v>
      </c>
      <c r="J81" s="363">
        <f t="shared" si="21"/>
        <v>0.4</v>
      </c>
      <c r="K81" s="364"/>
      <c r="L81" s="365"/>
    </row>
    <row r="82" spans="1:12" x14ac:dyDescent="0.25">
      <c r="A82" s="248">
        <v>9</v>
      </c>
      <c r="B82" s="264" t="s">
        <v>264</v>
      </c>
      <c r="C82" s="250">
        <v>2</v>
      </c>
      <c r="D82" s="250">
        <v>12</v>
      </c>
      <c r="E82" s="1187">
        <f t="shared" si="19"/>
        <v>2</v>
      </c>
      <c r="F82" s="1188"/>
      <c r="G82" s="407">
        <v>6.19</v>
      </c>
      <c r="H82" s="623">
        <f t="shared" si="17"/>
        <v>2.1665000000000001</v>
      </c>
      <c r="I82" s="623">
        <f t="shared" si="20"/>
        <v>8.36</v>
      </c>
      <c r="J82" s="366">
        <f t="shared" si="21"/>
        <v>1.39</v>
      </c>
      <c r="K82" s="364"/>
      <c r="L82" s="365"/>
    </row>
    <row r="83" spans="1:12" ht="24" x14ac:dyDescent="0.25">
      <c r="A83" s="261">
        <v>10</v>
      </c>
      <c r="B83" s="262" t="s">
        <v>265</v>
      </c>
      <c r="C83" s="244">
        <v>3</v>
      </c>
      <c r="D83" s="244">
        <v>12</v>
      </c>
      <c r="E83" s="1185">
        <f t="shared" si="19"/>
        <v>2</v>
      </c>
      <c r="F83" s="1186"/>
      <c r="G83" s="406">
        <v>52.82</v>
      </c>
      <c r="H83" s="622">
        <f t="shared" si="17"/>
        <v>18.486999999999998</v>
      </c>
      <c r="I83" s="622">
        <f t="shared" si="20"/>
        <v>71.31</v>
      </c>
      <c r="J83" s="363">
        <f t="shared" si="21"/>
        <v>17.829999999999998</v>
      </c>
      <c r="K83" s="364"/>
      <c r="L83" s="365"/>
    </row>
    <row r="84" spans="1:12" ht="24" x14ac:dyDescent="0.25">
      <c r="A84" s="248">
        <v>11</v>
      </c>
      <c r="B84" s="264" t="s">
        <v>266</v>
      </c>
      <c r="C84" s="250">
        <v>2</v>
      </c>
      <c r="D84" s="250">
        <v>12</v>
      </c>
      <c r="E84" s="1187">
        <f t="shared" si="19"/>
        <v>2</v>
      </c>
      <c r="F84" s="1188"/>
      <c r="G84" s="407">
        <v>14.31</v>
      </c>
      <c r="H84" s="623">
        <f t="shared" si="17"/>
        <v>5.0084999999999997</v>
      </c>
      <c r="I84" s="623">
        <f t="shared" si="20"/>
        <v>19.32</v>
      </c>
      <c r="J84" s="366">
        <f t="shared" si="21"/>
        <v>3.22</v>
      </c>
      <c r="K84" s="364"/>
      <c r="L84" s="365"/>
    </row>
    <row r="85" spans="1:12" x14ac:dyDescent="0.25">
      <c r="A85" s="289"/>
      <c r="B85" s="289"/>
      <c r="C85" s="289"/>
      <c r="D85" s="290"/>
      <c r="E85" s="290"/>
      <c r="F85" s="290"/>
      <c r="G85" s="580">
        <f>(SUM(G77:G84))*(SUM('POSTOS e RESUMO'!$G$32:$G$34))</f>
        <v>3891.3</v>
      </c>
      <c r="H85" s="580"/>
      <c r="I85" s="368"/>
      <c r="J85" s="369">
        <f>SUM(J77:J84)</f>
        <v>32.659999999999997</v>
      </c>
      <c r="K85" s="370"/>
      <c r="L85" s="371"/>
    </row>
    <row r="86" spans="1:12" ht="16.5" thickBot="1" x14ac:dyDescent="0.3">
      <c r="A86" s="1191" t="s">
        <v>267</v>
      </c>
      <c r="B86" s="1192"/>
      <c r="C86" s="1193"/>
      <c r="D86" s="1194"/>
      <c r="E86" s="393"/>
      <c r="F86" s="393"/>
      <c r="G86" s="279"/>
      <c r="H86" s="279"/>
      <c r="I86" s="279"/>
      <c r="J86" s="279"/>
      <c r="K86" s="372"/>
      <c r="L86" s="372"/>
    </row>
    <row r="87" spans="1:12" ht="24.75" thickTop="1" x14ac:dyDescent="0.25">
      <c r="A87" s="261">
        <v>12</v>
      </c>
      <c r="B87" s="262" t="s">
        <v>268</v>
      </c>
      <c r="C87" s="244">
        <v>1</v>
      </c>
      <c r="D87" s="244">
        <v>24</v>
      </c>
      <c r="E87" s="1185">
        <f>24/D87</f>
        <v>1</v>
      </c>
      <c r="F87" s="1186"/>
      <c r="G87" s="406">
        <v>359.9</v>
      </c>
      <c r="H87" s="624">
        <f>G87*$H$15</f>
        <v>125.96499999999999</v>
      </c>
      <c r="I87" s="625">
        <f>ROUND(G87+H87,2)</f>
        <v>485.87</v>
      </c>
      <c r="J87" s="363">
        <f>ROUND(((C87*I87)/D87),2)</f>
        <v>20.239999999999998</v>
      </c>
      <c r="K87" s="364"/>
      <c r="L87" s="365"/>
    </row>
    <row r="88" spans="1:12" ht="24" x14ac:dyDescent="0.25">
      <c r="A88" s="248">
        <v>13</v>
      </c>
      <c r="B88" s="264" t="s">
        <v>269</v>
      </c>
      <c r="C88" s="250">
        <v>3</v>
      </c>
      <c r="D88" s="250">
        <v>24</v>
      </c>
      <c r="E88" s="1187">
        <f>24/D88</f>
        <v>1</v>
      </c>
      <c r="F88" s="1188"/>
      <c r="G88" s="407">
        <v>31.59</v>
      </c>
      <c r="H88" s="623">
        <f t="shared" ref="H88:H89" si="22">G88*$H$15</f>
        <v>11.0565</v>
      </c>
      <c r="I88" s="623">
        <f t="shared" ref="I88:I89" si="23">ROUND(G88+H88,2)</f>
        <v>42.65</v>
      </c>
      <c r="J88" s="366">
        <f>ROUND(((C88*I88)/D88),2)</f>
        <v>5.33</v>
      </c>
      <c r="K88" s="364"/>
      <c r="L88" s="365"/>
    </row>
    <row r="89" spans="1:12" ht="36" x14ac:dyDescent="0.25">
      <c r="A89" s="261">
        <v>14</v>
      </c>
      <c r="B89" s="262" t="s">
        <v>270</v>
      </c>
      <c r="C89" s="244">
        <v>1</v>
      </c>
      <c r="D89" s="244">
        <v>24</v>
      </c>
      <c r="E89" s="1185">
        <f>24/D89</f>
        <v>1</v>
      </c>
      <c r="F89" s="1186"/>
      <c r="G89" s="406">
        <v>105.63</v>
      </c>
      <c r="H89" s="622">
        <f t="shared" si="22"/>
        <v>36.970499999999994</v>
      </c>
      <c r="I89" s="622">
        <f t="shared" si="23"/>
        <v>142.6</v>
      </c>
      <c r="J89" s="363">
        <f>ROUND(((C89*I89)/D89),2)</f>
        <v>5.94</v>
      </c>
      <c r="K89" s="364"/>
      <c r="L89" s="365"/>
    </row>
    <row r="90" spans="1:12" x14ac:dyDescent="0.25">
      <c r="A90" s="289"/>
      <c r="B90" s="289"/>
      <c r="C90" s="289"/>
      <c r="D90" s="290"/>
      <c r="E90" s="290"/>
      <c r="F90" s="290"/>
      <c r="G90" s="580">
        <f>(SUM(G87:G89))*(SUM('POSTOS e RESUMO'!$G$32:$G$34))</f>
        <v>17399.199999999997</v>
      </c>
      <c r="H90" s="580"/>
      <c r="I90" s="365"/>
      <c r="J90" s="369">
        <f>SUM(J87:J89)</f>
        <v>31.51</v>
      </c>
      <c r="K90" s="370"/>
      <c r="L90" s="371"/>
    </row>
    <row r="91" spans="1:12" ht="15.75" thickBot="1" x14ac:dyDescent="0.3">
      <c r="A91" s="289"/>
      <c r="B91" s="289"/>
      <c r="C91" s="289"/>
      <c r="D91" s="294"/>
      <c r="E91" s="294"/>
      <c r="F91" s="294"/>
      <c r="G91" s="280"/>
      <c r="H91" s="280"/>
      <c r="I91" s="280"/>
      <c r="J91" s="280"/>
      <c r="K91" s="280"/>
      <c r="L91" s="280"/>
    </row>
    <row r="92" spans="1:12" ht="15.75" thickBot="1" x14ac:dyDescent="0.3">
      <c r="A92" s="289"/>
      <c r="B92" s="289"/>
      <c r="C92" s="289"/>
      <c r="D92" s="1189" t="s">
        <v>271</v>
      </c>
      <c r="E92" s="1189"/>
      <c r="F92" s="1189"/>
      <c r="G92" s="1189"/>
      <c r="H92" s="1189"/>
      <c r="I92" s="1190"/>
      <c r="J92" s="358">
        <f>J90+J85+J75</f>
        <v>92.87</v>
      </c>
      <c r="K92" s="373"/>
      <c r="L92" s="374"/>
    </row>
    <row r="93" spans="1:12" x14ac:dyDescent="0.25">
      <c r="A93" s="270"/>
      <c r="B93" s="196"/>
      <c r="C93" s="293"/>
      <c r="D93" s="294"/>
      <c r="E93" s="294"/>
      <c r="F93" s="294"/>
      <c r="G93" s="280"/>
      <c r="H93" s="280"/>
      <c r="I93" s="280"/>
      <c r="J93" s="280"/>
      <c r="K93" s="280"/>
      <c r="L93" s="280"/>
    </row>
    <row r="94" spans="1:12" ht="15.75" thickBot="1" x14ac:dyDescent="0.3">
      <c r="A94" s="289"/>
      <c r="B94" s="289"/>
      <c r="C94" s="289"/>
      <c r="D94" s="294"/>
      <c r="E94" s="294"/>
      <c r="F94" s="294"/>
      <c r="G94" s="280"/>
      <c r="H94" s="280"/>
      <c r="I94" s="280"/>
      <c r="J94" s="357" t="s">
        <v>242</v>
      </c>
      <c r="K94" s="357" t="s">
        <v>243</v>
      </c>
      <c r="L94" s="357" t="s">
        <v>244</v>
      </c>
    </row>
    <row r="95" spans="1:12" ht="19.5" thickBot="1" x14ac:dyDescent="0.3">
      <c r="A95" s="289"/>
      <c r="B95" s="289"/>
      <c r="C95" s="289"/>
      <c r="D95" s="1195" t="s">
        <v>452</v>
      </c>
      <c r="E95" s="1195"/>
      <c r="F95" s="1195"/>
      <c r="G95" s="1195"/>
      <c r="H95" s="1195"/>
      <c r="I95" s="1196"/>
      <c r="J95" s="389">
        <f>J69+J57+J92</f>
        <v>1515.2908333333335</v>
      </c>
      <c r="K95" s="389">
        <f>K69+K57+J92</f>
        <v>1958.6183333333329</v>
      </c>
      <c r="L95" s="389">
        <f>L69+L57+J92</f>
        <v>2130.6383333333329</v>
      </c>
    </row>
    <row r="96" spans="1:12" ht="18.75" x14ac:dyDescent="0.25">
      <c r="A96" s="289"/>
      <c r="B96" s="289"/>
      <c r="C96" s="289"/>
      <c r="D96" s="510"/>
      <c r="E96" s="510"/>
      <c r="F96" s="510"/>
      <c r="G96" s="510"/>
      <c r="H96" s="510"/>
      <c r="I96" s="510"/>
      <c r="J96" s="670"/>
      <c r="K96" s="670"/>
      <c r="L96" s="670"/>
    </row>
    <row r="97" spans="1:12" ht="18.75" x14ac:dyDescent="0.25">
      <c r="A97" s="1199" t="s">
        <v>24</v>
      </c>
      <c r="B97" s="1200"/>
      <c r="C97" s="1200"/>
      <c r="D97" s="1200"/>
      <c r="E97" s="1200"/>
      <c r="F97" s="1200"/>
      <c r="G97" s="1200"/>
      <c r="H97" s="1200"/>
      <c r="I97" s="1200"/>
      <c r="J97" s="1200"/>
      <c r="K97" s="1200"/>
      <c r="L97" s="1201"/>
    </row>
    <row r="98" spans="1:12" ht="30" customHeight="1" thickBot="1" x14ac:dyDescent="0.3">
      <c r="A98" s="1191" t="s">
        <v>275</v>
      </c>
      <c r="B98" s="1192"/>
      <c r="C98" s="1193"/>
      <c r="D98" s="1194"/>
      <c r="E98" s="393"/>
      <c r="F98" s="393"/>
      <c r="G98" s="279"/>
      <c r="H98" s="279"/>
      <c r="I98" s="279"/>
      <c r="J98" s="279"/>
      <c r="K98" s="280"/>
      <c r="L98" s="280"/>
    </row>
    <row r="99" spans="1:12" ht="48.75" thickTop="1" x14ac:dyDescent="0.25">
      <c r="A99" s="238" t="s">
        <v>109</v>
      </c>
      <c r="B99" s="238" t="s">
        <v>201</v>
      </c>
      <c r="C99" s="281" t="s">
        <v>516</v>
      </c>
      <c r="D99" s="600" t="s">
        <v>254</v>
      </c>
      <c r="E99" s="601" t="s">
        <v>418</v>
      </c>
      <c r="F99" s="394" t="s">
        <v>420</v>
      </c>
      <c r="G99" s="238" t="s">
        <v>39</v>
      </c>
      <c r="H99" s="578" t="s">
        <v>423</v>
      </c>
      <c r="I99" s="578" t="s">
        <v>426</v>
      </c>
      <c r="J99" s="602" t="s">
        <v>255</v>
      </c>
    </row>
    <row r="100" spans="1:12" x14ac:dyDescent="0.25">
      <c r="A100" s="379">
        <v>1</v>
      </c>
      <c r="B100" s="380" t="s">
        <v>276</v>
      </c>
      <c r="C100" s="244">
        <v>5</v>
      </c>
      <c r="D100" s="381">
        <v>4</v>
      </c>
      <c r="E100" s="507">
        <f>24/D100</f>
        <v>6</v>
      </c>
      <c r="F100" s="395">
        <f>C100*E100</f>
        <v>30</v>
      </c>
      <c r="G100" s="408">
        <v>8.67</v>
      </c>
      <c r="H100" s="622">
        <f t="shared" ref="H100" si="24">G100*$H$15</f>
        <v>3.0345</v>
      </c>
      <c r="I100" s="622">
        <f t="shared" ref="I100" si="25">ROUND(G100+H100,2)</f>
        <v>11.7</v>
      </c>
      <c r="J100" s="603">
        <f>ROUND(((C100*I100)/D100),2)</f>
        <v>14.63</v>
      </c>
    </row>
    <row r="101" spans="1:12" x14ac:dyDescent="0.25">
      <c r="A101" s="390"/>
      <c r="B101" s="390"/>
      <c r="C101" s="390"/>
      <c r="D101" s="382"/>
      <c r="E101" s="257"/>
      <c r="G101" s="605"/>
      <c r="H101" s="257"/>
      <c r="I101" s="367" t="s">
        <v>190</v>
      </c>
      <c r="J101" s="604">
        <f>SUM(J100:J100)</f>
        <v>14.63</v>
      </c>
    </row>
    <row r="102" spans="1:12" x14ac:dyDescent="0.25">
      <c r="A102" s="390"/>
      <c r="B102" s="390"/>
      <c r="C102" s="390"/>
      <c r="D102" s="392"/>
      <c r="E102" s="392"/>
      <c r="F102" s="392"/>
      <c r="G102" s="392"/>
      <c r="H102" s="509"/>
      <c r="I102" s="509"/>
      <c r="J102" s="392"/>
      <c r="K102" s="398"/>
      <c r="L102" s="398"/>
    </row>
    <row r="103" spans="1:12" ht="16.5" thickBot="1" x14ac:dyDescent="0.3">
      <c r="A103" s="360" t="s">
        <v>417</v>
      </c>
      <c r="B103" s="345"/>
      <c r="C103" s="277"/>
      <c r="D103" s="276"/>
      <c r="E103" s="393"/>
      <c r="F103" s="393"/>
      <c r="G103" s="393"/>
      <c r="H103" s="506"/>
      <c r="I103" s="506"/>
      <c r="J103" s="393"/>
      <c r="K103" s="280"/>
      <c r="L103" s="280"/>
    </row>
    <row r="104" spans="1:12" ht="15.75" thickTop="1" x14ac:dyDescent="0.25">
      <c r="A104" s="261">
        <v>1</v>
      </c>
      <c r="B104" s="262" t="s">
        <v>276</v>
      </c>
      <c r="C104" s="244">
        <v>5</v>
      </c>
      <c r="D104" s="383">
        <v>12</v>
      </c>
      <c r="E104" s="507">
        <f>24/D104</f>
        <v>2</v>
      </c>
      <c r="F104" s="395">
        <f>C104*E104</f>
        <v>10</v>
      </c>
      <c r="G104" s="307">
        <f>G100</f>
        <v>8.67</v>
      </c>
      <c r="H104" s="622">
        <f t="shared" ref="H104" si="26">G104*$H$15</f>
        <v>3.0345</v>
      </c>
      <c r="I104" s="622">
        <f t="shared" ref="I104" si="27">ROUND(G104+H104,2)</f>
        <v>11.7</v>
      </c>
      <c r="J104" s="363">
        <f>ROUND(((C104*I104)/D104),2)</f>
        <v>4.88</v>
      </c>
    </row>
    <row r="105" spans="1:12" x14ac:dyDescent="0.25">
      <c r="A105" s="390"/>
      <c r="B105" s="390"/>
      <c r="C105" s="390"/>
      <c r="D105" s="382"/>
      <c r="E105" s="257"/>
      <c r="F105" s="257"/>
      <c r="G105" s="607"/>
      <c r="H105" s="529"/>
      <c r="I105" s="367" t="s">
        <v>190</v>
      </c>
      <c r="J105" s="606">
        <f>SUM(J104:J104)</f>
        <v>4.88</v>
      </c>
    </row>
    <row r="106" spans="1:12" x14ac:dyDescent="0.25">
      <c r="A106" s="390"/>
      <c r="B106" s="390"/>
      <c r="C106" s="390"/>
      <c r="D106" s="392"/>
      <c r="E106" s="392"/>
      <c r="F106" s="392"/>
      <c r="G106" s="392"/>
      <c r="H106" s="509"/>
      <c r="I106" s="509"/>
      <c r="J106" s="392"/>
      <c r="K106" s="398"/>
      <c r="L106" s="398"/>
    </row>
    <row r="107" spans="1:12" ht="16.5" thickBot="1" x14ac:dyDescent="0.3">
      <c r="A107" s="1191" t="s">
        <v>419</v>
      </c>
      <c r="B107" s="1192"/>
      <c r="C107" s="1193"/>
      <c r="D107" s="1194"/>
      <c r="E107" s="393"/>
      <c r="F107" s="393"/>
      <c r="G107" s="393"/>
      <c r="H107" s="506"/>
      <c r="I107" s="506"/>
      <c r="J107" s="393"/>
      <c r="K107" s="280"/>
      <c r="L107" s="280"/>
    </row>
    <row r="108" spans="1:12" ht="48.75" thickTop="1" x14ac:dyDescent="0.25">
      <c r="A108" s="238" t="s">
        <v>109</v>
      </c>
      <c r="B108" s="238" t="s">
        <v>201</v>
      </c>
      <c r="C108" s="281" t="s">
        <v>516</v>
      </c>
      <c r="D108" s="239" t="s">
        <v>254</v>
      </c>
      <c r="E108" s="608" t="s">
        <v>418</v>
      </c>
      <c r="F108" s="394" t="s">
        <v>420</v>
      </c>
      <c r="G108" s="238" t="s">
        <v>39</v>
      </c>
      <c r="H108" s="578" t="s">
        <v>423</v>
      </c>
      <c r="I108" s="578" t="s">
        <v>426</v>
      </c>
      <c r="J108" s="241" t="s">
        <v>255</v>
      </c>
      <c r="K108" s="609"/>
      <c r="L108" s="529"/>
    </row>
    <row r="109" spans="1:12" ht="24" x14ac:dyDescent="0.25">
      <c r="A109" s="261">
        <v>2</v>
      </c>
      <c r="B109" s="262" t="s">
        <v>277</v>
      </c>
      <c r="C109" s="244">
        <v>1</v>
      </c>
      <c r="D109" s="383">
        <v>12</v>
      </c>
      <c r="E109" s="507">
        <f>24/D109</f>
        <v>2</v>
      </c>
      <c r="F109" s="395">
        <f t="shared" ref="F109:F115" si="28">C109*E109</f>
        <v>2</v>
      </c>
      <c r="G109" s="409">
        <v>27.59</v>
      </c>
      <c r="H109" s="622">
        <f t="shared" ref="H109:H115" si="29">G109*$H$15</f>
        <v>9.6564999999999994</v>
      </c>
      <c r="I109" s="622">
        <f t="shared" ref="I109:I110" si="30">ROUND(G109+H109,2)</f>
        <v>37.25</v>
      </c>
      <c r="J109" s="363">
        <f>ROUND(((C109*I109)/D109),2)</f>
        <v>3.1</v>
      </c>
    </row>
    <row r="110" spans="1:12" ht="36" x14ac:dyDescent="0.25">
      <c r="A110" s="248">
        <v>3</v>
      </c>
      <c r="B110" s="264" t="s">
        <v>278</v>
      </c>
      <c r="C110" s="250">
        <v>2</v>
      </c>
      <c r="D110" s="396">
        <v>12</v>
      </c>
      <c r="E110" s="508">
        <f>24/D110</f>
        <v>2</v>
      </c>
      <c r="F110" s="391">
        <f t="shared" si="28"/>
        <v>4</v>
      </c>
      <c r="G110" s="410">
        <v>52.67</v>
      </c>
      <c r="H110" s="623">
        <f t="shared" si="29"/>
        <v>18.4345</v>
      </c>
      <c r="I110" s="623">
        <f t="shared" si="30"/>
        <v>71.099999999999994</v>
      </c>
      <c r="J110" s="366">
        <f>ROUND(((C110*I110)/D110),2)</f>
        <v>11.85</v>
      </c>
    </row>
    <row r="111" spans="1:12" ht="24" x14ac:dyDescent="0.25">
      <c r="A111" s="261">
        <v>4</v>
      </c>
      <c r="B111" s="262" t="s">
        <v>279</v>
      </c>
      <c r="C111" s="244">
        <v>3</v>
      </c>
      <c r="D111" s="383">
        <v>12</v>
      </c>
      <c r="E111" s="507">
        <f t="shared" ref="E111:E115" si="31">24/D111</f>
        <v>2</v>
      </c>
      <c r="F111" s="395">
        <f t="shared" si="28"/>
        <v>6</v>
      </c>
      <c r="G111" s="409">
        <v>29.95</v>
      </c>
      <c r="H111" s="622">
        <f t="shared" si="29"/>
        <v>10.4825</v>
      </c>
      <c r="I111" s="622">
        <f t="shared" ref="I111:I115" si="32">ROUND(G111+H111,2)</f>
        <v>40.43</v>
      </c>
      <c r="J111" s="363">
        <f t="shared" ref="J111:J115" si="33">ROUND(((C111*I111)/D111),2)</f>
        <v>10.11</v>
      </c>
    </row>
    <row r="112" spans="1:12" ht="36" x14ac:dyDescent="0.25">
      <c r="A112" s="248">
        <v>5</v>
      </c>
      <c r="B112" s="264" t="s">
        <v>280</v>
      </c>
      <c r="C112" s="250">
        <v>3</v>
      </c>
      <c r="D112" s="396">
        <v>12</v>
      </c>
      <c r="E112" s="508">
        <f t="shared" si="31"/>
        <v>2</v>
      </c>
      <c r="F112" s="391">
        <f t="shared" si="28"/>
        <v>6</v>
      </c>
      <c r="G112" s="410">
        <v>30</v>
      </c>
      <c r="H112" s="623">
        <f t="shared" si="29"/>
        <v>10.5</v>
      </c>
      <c r="I112" s="623">
        <f t="shared" si="32"/>
        <v>40.5</v>
      </c>
      <c r="J112" s="366">
        <f t="shared" si="33"/>
        <v>10.130000000000001</v>
      </c>
    </row>
    <row r="113" spans="1:12" ht="36" x14ac:dyDescent="0.25">
      <c r="A113" s="261">
        <v>6</v>
      </c>
      <c r="B113" s="262" t="s">
        <v>281</v>
      </c>
      <c r="C113" s="244">
        <v>2</v>
      </c>
      <c r="D113" s="383">
        <v>12</v>
      </c>
      <c r="E113" s="507">
        <f t="shared" si="31"/>
        <v>2</v>
      </c>
      <c r="F113" s="395">
        <f t="shared" si="28"/>
        <v>4</v>
      </c>
      <c r="G113" s="409">
        <v>41.5</v>
      </c>
      <c r="H113" s="622">
        <f t="shared" si="29"/>
        <v>14.524999999999999</v>
      </c>
      <c r="I113" s="622">
        <f t="shared" si="32"/>
        <v>56.03</v>
      </c>
      <c r="J113" s="363">
        <f t="shared" si="33"/>
        <v>9.34</v>
      </c>
    </row>
    <row r="114" spans="1:12" ht="24" x14ac:dyDescent="0.25">
      <c r="A114" s="248">
        <v>7</v>
      </c>
      <c r="B114" s="264" t="s">
        <v>282</v>
      </c>
      <c r="C114" s="250">
        <v>1</v>
      </c>
      <c r="D114" s="396">
        <v>12</v>
      </c>
      <c r="E114" s="508">
        <f t="shared" si="31"/>
        <v>2</v>
      </c>
      <c r="F114" s="391">
        <f t="shared" si="28"/>
        <v>2</v>
      </c>
      <c r="G114" s="410">
        <v>107.91</v>
      </c>
      <c r="H114" s="623">
        <f t="shared" si="29"/>
        <v>37.768499999999996</v>
      </c>
      <c r="I114" s="623">
        <f t="shared" si="32"/>
        <v>145.68</v>
      </c>
      <c r="J114" s="366">
        <f t="shared" si="33"/>
        <v>12.14</v>
      </c>
    </row>
    <row r="115" spans="1:12" ht="36" x14ac:dyDescent="0.25">
      <c r="A115" s="261">
        <v>8</v>
      </c>
      <c r="B115" s="243" t="s">
        <v>283</v>
      </c>
      <c r="C115" s="263">
        <v>2</v>
      </c>
      <c r="D115" s="384">
        <v>12</v>
      </c>
      <c r="E115" s="507">
        <f t="shared" si="31"/>
        <v>2</v>
      </c>
      <c r="F115" s="385">
        <f t="shared" si="28"/>
        <v>4</v>
      </c>
      <c r="G115" s="410">
        <v>70.89</v>
      </c>
      <c r="H115" s="622">
        <f t="shared" si="29"/>
        <v>24.811499999999999</v>
      </c>
      <c r="I115" s="622">
        <f t="shared" si="32"/>
        <v>95.7</v>
      </c>
      <c r="J115" s="363">
        <f t="shared" si="33"/>
        <v>15.95</v>
      </c>
    </row>
    <row r="116" spans="1:12" x14ac:dyDescent="0.25">
      <c r="A116" s="390"/>
      <c r="B116" s="390"/>
      <c r="C116" s="390"/>
      <c r="D116" s="382"/>
      <c r="E116" s="257"/>
      <c r="F116" s="257"/>
      <c r="G116" s="382"/>
      <c r="H116" s="257"/>
      <c r="I116" s="367" t="s">
        <v>190</v>
      </c>
      <c r="J116" s="323">
        <f>SUM(J109:J115)</f>
        <v>72.62</v>
      </c>
    </row>
    <row r="117" spans="1:12" ht="16.5" thickBot="1" x14ac:dyDescent="0.3">
      <c r="A117" s="1191" t="s">
        <v>284</v>
      </c>
      <c r="B117" s="1192"/>
      <c r="C117" s="1193"/>
      <c r="D117" s="1194"/>
      <c r="E117" s="393"/>
      <c r="F117" s="393"/>
      <c r="G117" s="393"/>
      <c r="H117" s="506"/>
      <c r="I117" s="506"/>
      <c r="J117" s="393"/>
      <c r="K117" s="280"/>
      <c r="L117" s="280"/>
    </row>
    <row r="118" spans="1:12" ht="15.75" thickTop="1" x14ac:dyDescent="0.25">
      <c r="A118" s="261">
        <v>9</v>
      </c>
      <c r="B118" s="262" t="s">
        <v>285</v>
      </c>
      <c r="C118" s="244">
        <v>1</v>
      </c>
      <c r="D118" s="386">
        <v>24</v>
      </c>
      <c r="E118" s="507">
        <f>24/D118</f>
        <v>1</v>
      </c>
      <c r="F118" s="395">
        <f>C118*E118</f>
        <v>1</v>
      </c>
      <c r="G118" s="409">
        <v>44.9</v>
      </c>
      <c r="H118" s="622">
        <f t="shared" ref="H118:H119" si="34">G118*$H$15</f>
        <v>15.714999999999998</v>
      </c>
      <c r="I118" s="622">
        <f t="shared" ref="I118:I119" si="35">ROUND(G118+H118,2)</f>
        <v>60.62</v>
      </c>
      <c r="J118" s="363">
        <f>ROUND(((C118*I118)/D118),2)</f>
        <v>2.5299999999999998</v>
      </c>
      <c r="K118" s="529"/>
      <c r="L118" s="529"/>
    </row>
    <row r="119" spans="1:12" ht="15.75" customHeight="1" x14ac:dyDescent="0.25">
      <c r="A119" s="266">
        <v>10</v>
      </c>
      <c r="B119" s="249" t="s">
        <v>286</v>
      </c>
      <c r="C119" s="267">
        <v>1</v>
      </c>
      <c r="D119" s="387">
        <v>24</v>
      </c>
      <c r="E119" s="508">
        <f>24/D119</f>
        <v>1</v>
      </c>
      <c r="F119" s="391">
        <f>C119*E119</f>
        <v>1</v>
      </c>
      <c r="G119" s="409">
        <v>2.84</v>
      </c>
      <c r="H119" s="622">
        <f t="shared" si="34"/>
        <v>0.99399999999999988</v>
      </c>
      <c r="I119" s="622">
        <f t="shared" si="35"/>
        <v>3.83</v>
      </c>
      <c r="J119" s="610">
        <f>ROUND(((C119*I119)/D119),2)</f>
        <v>0.16</v>
      </c>
      <c r="K119" s="529"/>
      <c r="L119" s="529"/>
    </row>
    <row r="120" spans="1:12" x14ac:dyDescent="0.25">
      <c r="A120" s="390"/>
      <c r="B120" s="390"/>
      <c r="C120" s="390"/>
      <c r="D120" s="382"/>
      <c r="E120" s="257"/>
      <c r="F120" s="257"/>
      <c r="G120" s="382"/>
      <c r="H120" s="257"/>
      <c r="I120" s="367" t="s">
        <v>190</v>
      </c>
      <c r="J120" s="323">
        <f>SUM(J118:J119)</f>
        <v>2.69</v>
      </c>
      <c r="K120" s="367"/>
      <c r="L120" s="529"/>
    </row>
    <row r="121" spans="1:12" ht="15.75" thickBot="1" x14ac:dyDescent="0.3">
      <c r="A121" s="390"/>
      <c r="B121" s="390"/>
      <c r="C121" s="390"/>
      <c r="D121" s="392"/>
      <c r="E121" s="392"/>
      <c r="F121" s="392"/>
      <c r="G121" s="392"/>
      <c r="H121" s="509"/>
      <c r="I121" s="509"/>
      <c r="J121" s="392"/>
      <c r="K121" s="398"/>
      <c r="L121" s="398"/>
    </row>
    <row r="122" spans="1:12" ht="19.5" thickBot="1" x14ac:dyDescent="0.35">
      <c r="A122" s="270"/>
      <c r="B122" s="196"/>
      <c r="D122" s="400"/>
      <c r="F122" s="400"/>
      <c r="H122" s="397"/>
      <c r="I122" s="397" t="s">
        <v>287</v>
      </c>
      <c r="J122" s="388">
        <f>J120+J116+J101</f>
        <v>89.94</v>
      </c>
    </row>
    <row r="123" spans="1:12" ht="15.75" thickBot="1" x14ac:dyDescent="0.3">
      <c r="A123" s="390"/>
      <c r="B123" s="390"/>
      <c r="C123" s="390"/>
      <c r="D123" s="392"/>
      <c r="E123" s="392"/>
      <c r="F123" s="392"/>
      <c r="H123" s="511"/>
      <c r="I123" s="398"/>
      <c r="J123" s="398"/>
    </row>
    <row r="124" spans="1:12" ht="19.5" thickBot="1" x14ac:dyDescent="0.35">
      <c r="A124" s="270"/>
      <c r="B124" s="196"/>
      <c r="D124" s="400"/>
      <c r="F124" s="400"/>
      <c r="H124" s="397"/>
      <c r="I124" s="397" t="s">
        <v>288</v>
      </c>
      <c r="J124" s="388">
        <f>J120+J116+J105</f>
        <v>80.19</v>
      </c>
    </row>
    <row r="125" spans="1:12" ht="16.5" thickBot="1" x14ac:dyDescent="0.3">
      <c r="A125" s="1198" t="s">
        <v>45</v>
      </c>
      <c r="B125" s="1198"/>
      <c r="C125" s="1198"/>
      <c r="D125" s="1198"/>
      <c r="E125" s="1198"/>
      <c r="F125" s="1198"/>
      <c r="G125" s="19"/>
      <c r="H125" s="19"/>
      <c r="I125" s="19"/>
      <c r="J125" s="19"/>
      <c r="K125" s="19"/>
      <c r="L125" s="19"/>
    </row>
    <row r="126" spans="1:12" ht="16.5" thickTop="1" x14ac:dyDescent="0.25">
      <c r="A126" s="21"/>
      <c r="B126" s="21"/>
      <c r="C126" s="21"/>
      <c r="D126" s="21"/>
      <c r="E126" s="21"/>
      <c r="F126" s="21"/>
      <c r="G126" s="20"/>
      <c r="H126" s="20"/>
      <c r="I126" s="20"/>
      <c r="J126" s="20"/>
      <c r="K126" s="20"/>
      <c r="L126" s="20"/>
    </row>
    <row r="127" spans="1:12" ht="30" customHeight="1" x14ac:dyDescent="0.25">
      <c r="A127" s="22" t="s">
        <v>289</v>
      </c>
      <c r="B127" s="1160" t="s">
        <v>298</v>
      </c>
      <c r="C127" s="1160"/>
      <c r="D127" s="1160"/>
      <c r="E127" s="1160"/>
      <c r="F127" s="1160"/>
      <c r="G127" s="1160"/>
      <c r="H127" s="1160"/>
      <c r="I127" s="1160"/>
      <c r="J127" s="1160"/>
      <c r="K127" s="1160"/>
      <c r="L127" s="1160"/>
    </row>
    <row r="128" spans="1:12" ht="30" customHeight="1" x14ac:dyDescent="0.25">
      <c r="A128" s="22" t="s">
        <v>290</v>
      </c>
      <c r="B128" s="1160" t="s">
        <v>293</v>
      </c>
      <c r="C128" s="1160"/>
      <c r="D128" s="1160"/>
      <c r="E128" s="1160"/>
      <c r="F128" s="1160"/>
      <c r="G128" s="411"/>
      <c r="H128" s="411"/>
      <c r="I128" s="411"/>
      <c r="J128" s="411"/>
      <c r="K128" s="411"/>
      <c r="L128" s="411"/>
    </row>
    <row r="129" spans="1:12" ht="30" customHeight="1" x14ac:dyDescent="0.25">
      <c r="A129" s="22" t="s">
        <v>292</v>
      </c>
      <c r="B129" s="1197" t="s">
        <v>295</v>
      </c>
      <c r="C129" s="1197"/>
      <c r="D129" s="1197"/>
      <c r="E129" s="1197"/>
      <c r="F129" s="1197"/>
    </row>
    <row r="130" spans="1:12" x14ac:dyDescent="0.25">
      <c r="A130" s="23"/>
      <c r="B130" s="24"/>
      <c r="C130" s="24"/>
      <c r="D130" s="25"/>
      <c r="E130" s="24"/>
      <c r="F130" s="24"/>
      <c r="G130" s="1162" t="s">
        <v>373</v>
      </c>
      <c r="H130" s="1163"/>
      <c r="I130" s="1163"/>
      <c r="J130" s="1163"/>
      <c r="K130" s="1163"/>
      <c r="L130" s="1164"/>
    </row>
  </sheetData>
  <sheetProtection algorithmName="SHA-512" hashValue="XBWjy39+IXZVf45lIeKgAq7WMulH0XU05S2Jp2GZqi1JdzKBbOFrm1mMXU5RWoVTDIQ45JAT97sSYSVuVtqsBA==" saltValue="7DgSjFT/BmLLlSKDyBIeFg==" spinCount="100000" sheet="1" objects="1" scenarios="1" selectLockedCells="1"/>
  <mergeCells count="55">
    <mergeCell ref="A6:L6"/>
    <mergeCell ref="A1:L1"/>
    <mergeCell ref="A2:L2"/>
    <mergeCell ref="A3:L3"/>
    <mergeCell ref="A4:L4"/>
    <mergeCell ref="A5:L5"/>
    <mergeCell ref="C54:I54"/>
    <mergeCell ref="C48:I48"/>
    <mergeCell ref="D69:I69"/>
    <mergeCell ref="D66:I66"/>
    <mergeCell ref="A8:L8"/>
    <mergeCell ref="B12:L12"/>
    <mergeCell ref="B13:L13"/>
    <mergeCell ref="A17:L17"/>
    <mergeCell ref="A18:B18"/>
    <mergeCell ref="G10:L10"/>
    <mergeCell ref="C14:E14"/>
    <mergeCell ref="C15:E15"/>
    <mergeCell ref="J14:L14"/>
    <mergeCell ref="D57:I57"/>
    <mergeCell ref="E73:F73"/>
    <mergeCell ref="A58:B58"/>
    <mergeCell ref="C58:D58"/>
    <mergeCell ref="E71:F71"/>
    <mergeCell ref="E72:F72"/>
    <mergeCell ref="A76:B76"/>
    <mergeCell ref="C76:D76"/>
    <mergeCell ref="E77:F77"/>
    <mergeCell ref="E78:F78"/>
    <mergeCell ref="E79:F79"/>
    <mergeCell ref="G130:L130"/>
    <mergeCell ref="A107:B107"/>
    <mergeCell ref="C107:D107"/>
    <mergeCell ref="A97:L97"/>
    <mergeCell ref="A98:B98"/>
    <mergeCell ref="C98:D98"/>
    <mergeCell ref="A86:B86"/>
    <mergeCell ref="C86:D86"/>
    <mergeCell ref="D95:I95"/>
    <mergeCell ref="B128:F128"/>
    <mergeCell ref="B129:F129"/>
    <mergeCell ref="A117:B117"/>
    <mergeCell ref="C117:D117"/>
    <mergeCell ref="A125:F125"/>
    <mergeCell ref="B127:L127"/>
    <mergeCell ref="E74:F74"/>
    <mergeCell ref="E87:F87"/>
    <mergeCell ref="E88:F88"/>
    <mergeCell ref="E89:F89"/>
    <mergeCell ref="D92:I92"/>
    <mergeCell ref="E80:F80"/>
    <mergeCell ref="E81:F81"/>
    <mergeCell ref="E82:F82"/>
    <mergeCell ref="E83:F83"/>
    <mergeCell ref="E84:F84"/>
  </mergeCells>
  <printOptions horizontalCentered="1"/>
  <pageMargins left="0.31496062992125984" right="0.31496062992125984" top="0.78740157480314965" bottom="0.78740157480314965" header="0.31496062992125984" footer="0.31496062992125984"/>
  <pageSetup paperSize="9" scale="48" fitToHeight="2" orientation="portrait" r:id="rId1"/>
  <headerFooter>
    <oddHeader>&amp;R&amp;P</oddHeader>
    <oddFooter>&amp;L&amp;9SACCON/CPC/SECAD&amp;C&amp;8Última alteração por KETLYN &amp;D&amp;R&amp;9&amp;A
Página &amp;P/&amp;N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showGridLines="0" view="pageBreakPreview" zoomScaleNormal="100" zoomScaleSheetLayoutView="100" workbookViewId="0">
      <selection sqref="A1:F1"/>
    </sheetView>
  </sheetViews>
  <sheetFormatPr defaultRowHeight="15" x14ac:dyDescent="0.25"/>
  <cols>
    <col min="1" max="1" width="5.5703125" customWidth="1"/>
    <col min="2" max="2" width="57" customWidth="1"/>
    <col min="3" max="6" width="13.7109375" customWidth="1"/>
  </cols>
  <sheetData>
    <row r="1" spans="1:6" ht="15.75" x14ac:dyDescent="0.25">
      <c r="A1" s="1250" t="str">
        <f>'POSTOS e RESUMO'!A1:U1</f>
        <v>TRIBUNAL REGIONAL ELEITORAL DO PARANÁ</v>
      </c>
      <c r="B1" s="1250"/>
      <c r="C1" s="1250"/>
      <c r="D1" s="1250"/>
      <c r="E1" s="1250"/>
      <c r="F1" s="1250"/>
    </row>
    <row r="2" spans="1:6" x14ac:dyDescent="0.25">
      <c r="A2" s="1232" t="str">
        <f>'POSTOS e RESUMO'!A2:U2</f>
        <v>PLANILHA DE FORMAÇÃO DE CUSTOS E PREÇOS - Estimativa TRE-PR</v>
      </c>
      <c r="B2" s="1251"/>
      <c r="C2" s="1251"/>
      <c r="D2" s="1251"/>
      <c r="E2" s="1251"/>
      <c r="F2" s="1251"/>
    </row>
    <row r="3" spans="1:6" x14ac:dyDescent="0.25">
      <c r="A3" s="1232" t="str">
        <f>'POSTOS e RESUMO'!A3:U3</f>
        <v>Serviços de Limpeza, Copeiragem, Manutenção de Áreas Verdes e Limpeza em Altura - Polo 4 - Maringá e Região</v>
      </c>
      <c r="B3" s="1251"/>
      <c r="C3" s="1251"/>
      <c r="D3" s="1251"/>
      <c r="E3" s="1251"/>
      <c r="F3" s="1251"/>
    </row>
    <row r="4" spans="1:6" x14ac:dyDescent="0.25">
      <c r="A4" s="1233"/>
      <c r="B4" s="1234"/>
      <c r="C4" s="1234"/>
      <c r="D4" s="1234"/>
      <c r="E4" s="1234"/>
      <c r="F4" s="1234"/>
    </row>
    <row r="5" spans="1:6" x14ac:dyDescent="0.25">
      <c r="A5" s="1252" t="str">
        <f>'POSTOS e RESUMO'!A8:U8</f>
        <v>EMPRESA</v>
      </c>
      <c r="B5" s="1253"/>
      <c r="C5" s="1253"/>
      <c r="D5" s="1253"/>
      <c r="E5" s="1253"/>
      <c r="F5" s="1254"/>
    </row>
    <row r="6" spans="1:6" x14ac:dyDescent="0.25">
      <c r="A6" s="1247" t="str">
        <f>'POSTOS e RESUMO'!A9:U9</f>
        <v>CNPJ</v>
      </c>
      <c r="B6" s="1248"/>
      <c r="C6" s="1248"/>
      <c r="D6" s="1248"/>
      <c r="E6" s="1248"/>
      <c r="F6" s="1249"/>
    </row>
    <row r="7" spans="1:6" x14ac:dyDescent="0.25">
      <c r="A7" s="232"/>
      <c r="B7" s="232"/>
      <c r="C7" s="232"/>
      <c r="D7" s="232"/>
      <c r="E7" s="233"/>
      <c r="F7" s="233"/>
    </row>
    <row r="8" spans="1:6" x14ac:dyDescent="0.25">
      <c r="A8" s="1241" t="s">
        <v>299</v>
      </c>
      <c r="B8" s="1242"/>
      <c r="C8" s="1242"/>
      <c r="D8" s="1242"/>
      <c r="E8" s="1242"/>
      <c r="F8" s="1243"/>
    </row>
    <row r="9" spans="1:6" x14ac:dyDescent="0.25">
      <c r="A9" s="312"/>
      <c r="B9" s="313"/>
      <c r="C9" s="313"/>
      <c r="D9" s="313"/>
      <c r="E9" s="313"/>
      <c r="F9" s="313"/>
    </row>
    <row r="10" spans="1:6" x14ac:dyDescent="0.25">
      <c r="A10" s="234"/>
      <c r="B10" s="14" t="s">
        <v>300</v>
      </c>
      <c r="C10" s="15"/>
      <c r="D10" s="15"/>
      <c r="E10" s="15"/>
      <c r="F10" s="15"/>
    </row>
    <row r="11" spans="1:6" ht="75" customHeight="1" x14ac:dyDescent="0.25">
      <c r="A11" s="234"/>
      <c r="B11" s="1217" t="s">
        <v>301</v>
      </c>
      <c r="C11" s="1217"/>
      <c r="D11" s="1217"/>
      <c r="E11" s="1217"/>
      <c r="F11" s="1217"/>
    </row>
    <row r="12" spans="1:6" x14ac:dyDescent="0.25">
      <c r="A12" s="234"/>
      <c r="B12" s="1244" t="s">
        <v>302</v>
      </c>
      <c r="C12" s="1244"/>
      <c r="D12" s="1244"/>
      <c r="E12" s="1244"/>
      <c r="F12" s="1244"/>
    </row>
    <row r="13" spans="1:6" ht="45" customHeight="1" x14ac:dyDescent="0.25">
      <c r="A13" s="234"/>
      <c r="B13" s="1216" t="s">
        <v>303</v>
      </c>
      <c r="C13" s="1216"/>
      <c r="D13" s="1216"/>
      <c r="E13" s="1216"/>
      <c r="F13" s="1216"/>
    </row>
    <row r="14" spans="1:6" ht="30" customHeight="1" thickBot="1" x14ac:dyDescent="0.3">
      <c r="A14" s="1245" t="s">
        <v>304</v>
      </c>
      <c r="B14" s="1246"/>
      <c r="C14" s="236"/>
      <c r="D14" s="236"/>
      <c r="E14" s="237"/>
      <c r="F14" s="237"/>
    </row>
    <row r="15" spans="1:6" ht="36.75" thickTop="1" x14ac:dyDescent="0.25">
      <c r="A15" s="238" t="s">
        <v>109</v>
      </c>
      <c r="B15" s="238" t="s">
        <v>201</v>
      </c>
      <c r="C15" s="238" t="s">
        <v>202</v>
      </c>
      <c r="D15" s="239" t="s">
        <v>388</v>
      </c>
      <c r="E15" s="240" t="s">
        <v>461</v>
      </c>
      <c r="F15" s="314" t="s">
        <v>389</v>
      </c>
    </row>
    <row r="16" spans="1:6" ht="24" x14ac:dyDescent="0.25">
      <c r="A16" s="261">
        <f>'INSUMOS Analitica'!A24</f>
        <v>5</v>
      </c>
      <c r="B16" s="262" t="str">
        <f>'INSUMOS Analitica'!B24</f>
        <v>DETERGENTE* líquido de cozinha, frasco de 500 ml. Marcas de referência: Veja, Ypê, limpol e Minuano.</v>
      </c>
      <c r="C16" s="244" t="str">
        <f>'INSUMOS Analitica'!C24</f>
        <v>Frasco</v>
      </c>
      <c r="D16" s="244">
        <v>2</v>
      </c>
      <c r="E16" s="315">
        <f>'INSUMOS Analitica'!I24</f>
        <v>2.38</v>
      </c>
      <c r="F16" s="316">
        <f>ROUND(D16*E16,2)</f>
        <v>4.76</v>
      </c>
    </row>
    <row r="17" spans="1:6" ht="48" x14ac:dyDescent="0.25">
      <c r="A17" s="266">
        <f>'INSUMOS Analitica'!A38</f>
        <v>19</v>
      </c>
      <c r="B17" s="249" t="str">
        <f>'INSUMOS Analitica'!B38</f>
        <v>PAPEL HIGIÊNICO - rolo de 300 metros, branco macio, de primeira linha, gramatura mínima de 19g/m2, gofrado ou texturizado, com tecnologia corta-fácil. Marca de referência: Scott. Também serão aceitos rolos de 250 metros, se estes forem folha dupla.</v>
      </c>
      <c r="C17" s="267" t="str">
        <f>'INSUMOS Analitica'!C38</f>
        <v>Rolo</v>
      </c>
      <c r="D17" s="267">
        <v>3</v>
      </c>
      <c r="E17" s="317">
        <f>'INSUMOS Analitica'!I38</f>
        <v>19.239999999999998</v>
      </c>
      <c r="F17" s="318">
        <f>ROUND(D17*E17,2)</f>
        <v>57.72</v>
      </c>
    </row>
    <row r="18" spans="1:6" ht="72" x14ac:dyDescent="0.25">
      <c r="A18" s="319">
        <f>'INSUMOS Analitica'!A39</f>
        <v>20</v>
      </c>
      <c r="B18" s="243" t="str">
        <f>'INSUMOS Analitica'!B39</f>
        <v>PAPEL TOALHA - interfolhado, folha dupla, 100% celulose, caixa com 2.400 folhas, medidas aproximadas 22 x 22 cm. 
Observação: também serão aceitas caixas com 1.000 ou 2.000 folhas, desde que acrescida de 2 pacotes de no mínimo 200 folhas cada, totalizando 2.400 folhas. 
Marcas de referência: Santher-Inovatta, Mili e Indaial-Ipel.</v>
      </c>
      <c r="C18" s="263" t="str">
        <f>'INSUMOS Analitica'!C39</f>
        <v>Caixa</v>
      </c>
      <c r="D18" s="263">
        <v>3</v>
      </c>
      <c r="E18" s="320">
        <f>'INSUMOS Analitica'!I39</f>
        <v>70.959999999999994</v>
      </c>
      <c r="F18" s="321">
        <f>ROUND(D18*E18,2)</f>
        <v>212.88</v>
      </c>
    </row>
    <row r="19" spans="1:6" ht="36" x14ac:dyDescent="0.25">
      <c r="A19" s="266">
        <f>'INSUMOS Analitica'!A44</f>
        <v>25</v>
      </c>
      <c r="B19" s="249" t="str">
        <f>'INSUMOS Analitica'!B44</f>
        <v>SABONETE Líquido, bactericida/antisséptico, fragrância agradável, para saboneteiras de banheiros. Marcas de referência: Nobrehand, Spartan.</v>
      </c>
      <c r="C19" s="250" t="str">
        <f>'INSUMOS Analitica'!C44</f>
        <v>Litro</v>
      </c>
      <c r="D19" s="250">
        <v>2</v>
      </c>
      <c r="E19" s="317">
        <f>'INSUMOS Analitica'!I44</f>
        <v>5.0999999999999996</v>
      </c>
      <c r="F19" s="322">
        <f>ROUND(D19*E19,2)</f>
        <v>10.199999999999999</v>
      </c>
    </row>
    <row r="20" spans="1:6" x14ac:dyDescent="0.25">
      <c r="A20" s="257"/>
      <c r="B20" s="257"/>
      <c r="C20" s="1208" t="s">
        <v>236</v>
      </c>
      <c r="D20" s="1208"/>
      <c r="E20" s="1210"/>
      <c r="F20" s="323">
        <f>SUM(F16:F19)</f>
        <v>285.56</v>
      </c>
    </row>
    <row r="21" spans="1:6" ht="16.5" thickBot="1" x14ac:dyDescent="0.3">
      <c r="A21" s="1191" t="s">
        <v>305</v>
      </c>
      <c r="B21" s="1192"/>
      <c r="C21" s="1193"/>
      <c r="D21" s="1194"/>
      <c r="E21" s="279"/>
      <c r="F21" s="279"/>
    </row>
    <row r="22" spans="1:6" ht="36.75" thickTop="1" x14ac:dyDescent="0.25">
      <c r="A22" s="238" t="s">
        <v>109</v>
      </c>
      <c r="B22" s="238" t="s">
        <v>201</v>
      </c>
      <c r="C22" s="238" t="s">
        <v>202</v>
      </c>
      <c r="D22" s="239" t="s">
        <v>388</v>
      </c>
      <c r="E22" s="240" t="s">
        <v>39</v>
      </c>
      <c r="F22" s="314" t="s">
        <v>389</v>
      </c>
    </row>
    <row r="23" spans="1:6" ht="36" x14ac:dyDescent="0.25">
      <c r="A23" s="261">
        <f>'INSUMOS Analitica'!A60</f>
        <v>1</v>
      </c>
      <c r="B23" s="262" t="str">
        <f>'INSUMOS Analitica'!B60</f>
        <v>AÇÚCAR branco, refinado, pacote de 5 kg, com no mínimo 10 meses de prazo para expirar o prazo de validade no momento da entrega. Marcas de referência: União, Duçula e Alto Alegre.</v>
      </c>
      <c r="C23" s="244" t="str">
        <f>'INSUMOS Analitica'!C60</f>
        <v>Pacote</v>
      </c>
      <c r="D23" s="263">
        <v>1</v>
      </c>
      <c r="E23" s="324">
        <f>'INSUMOS Analitica'!I60</f>
        <v>29.57</v>
      </c>
      <c r="F23" s="325">
        <f>ROUND(D23*E23,2)</f>
        <v>29.57</v>
      </c>
    </row>
    <row r="24" spans="1:6" ht="36" x14ac:dyDescent="0.25">
      <c r="A24" s="248">
        <f>'INSUMOS Analitica'!A61</f>
        <v>2</v>
      </c>
      <c r="B24" s="264" t="str">
        <f>'INSUMOS Analitica'!B61</f>
        <v>CAFÉ TORRADO E MOÍDO EMBALAGEM ALTO VÁCUO - embalado à puro vácuo em embalagens de 500 gramas. Marcas de referência: Melitta, Damasco ou 3 Corações</v>
      </c>
      <c r="C24" s="250" t="str">
        <f>'INSUMOS Analitica'!C61</f>
        <v>Pacote</v>
      </c>
      <c r="D24" s="250">
        <v>5</v>
      </c>
      <c r="E24" s="252">
        <f>'INSUMOS Analitica'!I61</f>
        <v>25.08</v>
      </c>
      <c r="F24" s="326">
        <f>ROUND(D24*E24,2)</f>
        <v>125.4</v>
      </c>
    </row>
    <row r="25" spans="1:6" ht="36" x14ac:dyDescent="0.25">
      <c r="A25" s="261">
        <f>'INSUMOS Analitica'!A62</f>
        <v>3</v>
      </c>
      <c r="B25" s="262" t="str">
        <f>'INSUMOS Analitica'!B62</f>
        <v>CHÁ MATE NATURAL, embalado em caixinhas com peso líquido de aproximadamente 40g, distribuído em 20 ou 25 saches. Marcas de referência: Real ou Leão.</v>
      </c>
      <c r="C25" s="244" t="str">
        <f>'INSUMOS Analitica'!C62</f>
        <v>Caixa</v>
      </c>
      <c r="D25" s="263">
        <v>3</v>
      </c>
      <c r="E25" s="324">
        <f>'INSUMOS Analitica'!I62</f>
        <v>4.8899999999999997</v>
      </c>
      <c r="F25" s="325">
        <f>ROUND(D25*E25,2)</f>
        <v>14.67</v>
      </c>
    </row>
    <row r="26" spans="1:6" ht="24" x14ac:dyDescent="0.25">
      <c r="A26" s="261">
        <f>'INSUMOS Analitica'!A63</f>
        <v>4</v>
      </c>
      <c r="B26" s="262" t="str">
        <f>'INSUMOS Analitica'!B63</f>
        <v>FILTRO DE PAPEL para café, número 103, caixa com 30 unidades. Marcas de referência: Melitta, 3 Corações ou Itamaraty.</v>
      </c>
      <c r="C26" s="244" t="str">
        <f>'INSUMOS Analitica'!C63</f>
        <v>Caixa</v>
      </c>
      <c r="D26" s="263">
        <v>1</v>
      </c>
      <c r="E26" s="324">
        <f>'INSUMOS Analitica'!I63</f>
        <v>6.94</v>
      </c>
      <c r="F26" s="325">
        <f>ROUND(D26*E26,2)</f>
        <v>6.94</v>
      </c>
    </row>
    <row r="27" spans="1:6" ht="24" x14ac:dyDescent="0.25">
      <c r="A27" s="248">
        <f>'INSUMOS Analitica'!A64</f>
        <v>5</v>
      </c>
      <c r="B27" s="264" t="str">
        <f>'INSUMOS Analitica'!B64</f>
        <v>GÁS de cozinha (GLP), carga para botijão de 13 kg (P 13). Rateio mensal da estimativa.</v>
      </c>
      <c r="C27" s="250" t="str">
        <f>'INSUMOS Analitica'!C64</f>
        <v>Botijão</v>
      </c>
      <c r="D27" s="250">
        <v>0.6</v>
      </c>
      <c r="E27" s="252">
        <f>'INSUMOS Analitica'!I64</f>
        <v>149.46</v>
      </c>
      <c r="F27" s="326">
        <f>ROUND(D27*E27,2)</f>
        <v>89.68</v>
      </c>
    </row>
    <row r="28" spans="1:6" x14ac:dyDescent="0.25">
      <c r="A28" s="289"/>
      <c r="B28" s="289"/>
      <c r="C28" s="289"/>
      <c r="D28" s="1211" t="s">
        <v>236</v>
      </c>
      <c r="E28" s="1238"/>
      <c r="F28" s="327">
        <f>SUM(F23:F27)</f>
        <v>266.26</v>
      </c>
    </row>
    <row r="29" spans="1:6" ht="15.75" thickBot="1" x14ac:dyDescent="0.3">
      <c r="A29" s="289"/>
      <c r="B29" s="289"/>
      <c r="C29" s="289"/>
      <c r="D29" s="294"/>
      <c r="E29" s="280"/>
      <c r="F29" s="280"/>
    </row>
    <row r="30" spans="1:6" ht="16.5" thickBot="1" x14ac:dyDescent="0.3">
      <c r="A30" s="289"/>
      <c r="B30" s="1239" t="s">
        <v>390</v>
      </c>
      <c r="C30" s="1239"/>
      <c r="D30" s="1239"/>
      <c r="E30" s="1240"/>
      <c r="F30" s="328">
        <f>F20+F28</f>
        <v>551.81999999999994</v>
      </c>
    </row>
    <row r="31" spans="1:6" ht="16.5" thickBot="1" x14ac:dyDescent="0.3">
      <c r="A31" s="289"/>
      <c r="B31" s="329"/>
      <c r="C31" s="329"/>
      <c r="D31" s="329"/>
      <c r="E31" s="577"/>
      <c r="F31" s="330"/>
    </row>
    <row r="32" spans="1:6" ht="16.5" thickBot="1" x14ac:dyDescent="0.3">
      <c r="A32" s="289"/>
      <c r="B32" s="329"/>
      <c r="C32" s="329"/>
      <c r="D32" s="329"/>
      <c r="E32" s="329" t="s">
        <v>306</v>
      </c>
      <c r="F32" s="331">
        <v>102</v>
      </c>
    </row>
    <row r="33" spans="1:6" ht="15.75" x14ac:dyDescent="0.25">
      <c r="A33" s="272"/>
      <c r="B33" s="272"/>
      <c r="C33" s="272"/>
      <c r="D33" s="273"/>
      <c r="E33" s="274"/>
      <c r="F33" s="274"/>
    </row>
  </sheetData>
  <sheetProtection algorithmName="SHA-512" hashValue="VycBefMxCiXC/qWoCyV9PltLAzLZyxNMXp5QjnY0x2kNZFkgWD1/cYtDo7EXgcu0QXOA7pEA9e/OXNWez2hciw==" saltValue="FeQd4IdLdgOwhL2ZQpKt4Q==" spinCount="100000" sheet="1" objects="1" scenarios="1" selectLockedCells="1"/>
  <mergeCells count="16">
    <mergeCell ref="A6:F6"/>
    <mergeCell ref="A1:F1"/>
    <mergeCell ref="A2:F2"/>
    <mergeCell ref="A3:F3"/>
    <mergeCell ref="A4:F4"/>
    <mergeCell ref="A5:F5"/>
    <mergeCell ref="A21:B21"/>
    <mergeCell ref="C21:D21"/>
    <mergeCell ref="D28:E28"/>
    <mergeCell ref="B30:E30"/>
    <mergeCell ref="A8:F8"/>
    <mergeCell ref="B11:F11"/>
    <mergeCell ref="B12:F12"/>
    <mergeCell ref="B13:F13"/>
    <mergeCell ref="A14:B14"/>
    <mergeCell ref="C20:E20"/>
  </mergeCells>
  <printOptions horizontalCentered="1"/>
  <pageMargins left="0.78740157480314965" right="0.78740157480314965" top="0.78740157480314965" bottom="0.78740157480314965" header="0.31496062992125984" footer="0.31496062992125984"/>
  <pageSetup paperSize="9" scale="73" fitToHeight="2" orientation="portrait" r:id="rId1"/>
  <headerFooter>
    <oddHeader>&amp;R&amp;P</oddHeader>
    <oddFooter>&amp;L&amp;9SACCON/CPC/SECAD&amp;C&amp;8Última alteração por KETLYN &amp;D&amp;R&amp;9&amp;A
Página &amp;P/&amp;N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14</vt:i4>
      </vt:variant>
    </vt:vector>
  </HeadingPairs>
  <TitlesOfParts>
    <vt:vector size="25" baseType="lpstr">
      <vt:lpstr>POSTOS e RESUMO</vt:lpstr>
      <vt:lpstr>ENCARGOS e PROVISOES</vt:lpstr>
      <vt:lpstr>ENCARGOS Posto Per Ele</vt:lpstr>
      <vt:lpstr>CITL</vt:lpstr>
      <vt:lpstr>V.T.</vt:lpstr>
      <vt:lpstr>SERVIÇOS SOB DEMANDA</vt:lpstr>
      <vt:lpstr>EQUIPAMENTOS</vt:lpstr>
      <vt:lpstr>INSUMOS Analitica</vt:lpstr>
      <vt:lpstr>INSUMOS Pacote Adicional</vt:lpstr>
      <vt:lpstr>INSUMOS Posto Período Eleitoral</vt:lpstr>
      <vt:lpstr>HORA EXTRA E VA POR ASSID</vt:lpstr>
      <vt:lpstr>CITL!Area_de_impressao</vt:lpstr>
      <vt:lpstr>EQUIPAMENTOS!Area_de_impressao</vt:lpstr>
      <vt:lpstr>'HORA EXTRA E VA POR ASSID'!Area_de_impressao</vt:lpstr>
      <vt:lpstr>CITL!Print_Area</vt:lpstr>
      <vt:lpstr>'ENCARGOS e PROVISOES'!Print_Area</vt:lpstr>
      <vt:lpstr>'ENCARGOS Posto Per Ele'!Print_Area</vt:lpstr>
      <vt:lpstr>EQUIPAMENTOS!Print_Area</vt:lpstr>
      <vt:lpstr>'HORA EXTRA E VA POR ASSID'!Print_Area</vt:lpstr>
      <vt:lpstr>'INSUMOS Analitica'!Print_Area</vt:lpstr>
      <vt:lpstr>'INSUMOS Pacote Adicional'!Print_Area</vt:lpstr>
      <vt:lpstr>'INSUMOS Posto Período Eleitoral'!Print_Area</vt:lpstr>
      <vt:lpstr>'POSTOS e RESUMO'!Print_Area</vt:lpstr>
      <vt:lpstr>'SERVIÇOS SOB DEMANDA'!Print_Area</vt:lpstr>
      <vt:lpstr>V.T.!Print_Area</vt:lpstr>
    </vt:vector>
  </TitlesOfParts>
  <Company>Tribunal Regional Eleitoral do Paraná</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KETLYN</dc:creator>
  <cp:lastModifiedBy>MARIA CAROLINA</cp:lastModifiedBy>
  <cp:lastPrinted>2023-12-01T14:38:13Z</cp:lastPrinted>
  <dcterms:created xsi:type="dcterms:W3CDTF">2023-09-03T14:10:59Z</dcterms:created>
  <dcterms:modified xsi:type="dcterms:W3CDTF">2023-12-15T17:25:33Z</dcterms:modified>
</cp:coreProperties>
</file>